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Revenue" sheetId="12" state="visible" r:id="rId14"/>
    <sheet name="Credits" sheetId="13" state="visible" r:id="rId15"/>
    <sheet name="Team" sheetId="14" state="visible" r:id="rId16"/>
    <sheet name="Enterprise" sheetId="15" state="visible" r:id="rId17"/>
    <sheet name="Usage_Compute" sheetId="16" state="visible" r:id="rId18"/>
    <sheet name="Commitments" sheetId="17" state="visible" r:id="rId19"/>
    <sheet name="Unit_Costs" sheetId="18" state="visible" r:id="rId20"/>
    <sheet name="Margins" sheetId="19" state="visible" r:id="rId21"/>
    <sheet name="People" sheetId="20" state="visible" r:id="rId22"/>
    <sheet name="Research_Credit" sheetId="21" state="visible" r:id="rId23"/>
    <sheet name="Receivables" sheetId="22" state="visible" r:id="rId24"/>
    <sheet name="AR_Aging" sheetId="23" state="visible" r:id="rId25"/>
    <sheet name="AP_Aging" sheetId="24" state="visible" r:id="rId26"/>
    <sheet name="Payables" sheetId="25" state="visible" r:id="rId27"/>
    <sheet name="VAT" sheetId="26" state="visible" r:id="rId28"/>
    <sheet name="Tax" sheetId="27" state="visible" r:id="rId29"/>
    <sheet name="Overheads" sheetId="28" state="visible" r:id="rId30"/>
    <sheet name="Fixed_Assets" sheetId="29" state="visible" r:id="rId31"/>
    <sheet name="Treasury" sheetId="30" state="visible" r:id="rId32"/>
    <sheet name="Account_Register" sheetId="31" state="visible" r:id="rId33"/>
    <sheet name="Assumptions" sheetId="32" state="visible" r:id="rId34"/>
    <sheet name="Inputs_Actuals" sheetId="33" state="visible" r:id="rId35"/>
    <sheet name="History" sheetId="34" state="visible" r:id="rId36"/>
    <sheet name="Budget_FY26" sheetId="35" state="visible" r:id="rId3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<sst xmlns="http://schemas.openxmlformats.org/spreadsheetml/2006/main" count="3924" uniqueCount="2334">
  <si>
    <t xml:space="preserve">FINANCIAL MODEL AND MONTHLY REPORTING PACK</t>
  </si>
  <si>
    <t xml:space="preserve">AI business demonstration: document, voice and agent AI sold from Paris as prepaid credits, hybrid plans and enterprise commitments</t>
  </si>
  <si>
    <t xml:space="preserve">FICTIONAL DEMONSTRATION. Serennix AI SAS does not exist. Every name, customer, account, supplier, invoice and balance in this workbook was generated for demonstration purposes and does not describe any real company, customer or person. Tax, social contribution and filing rules reflect published French rules as at September 2026. Prepared by BriQs Group to show the structure, depth and controls of a monthly finance pack.</t>
  </si>
  <si>
    <t xml:space="preserve">Reporting month (last actual)</t>
  </si>
  <si>
    <t xml:space="preserve">Forecast horizon</t>
  </si>
  <si>
    <t xml:space="preserve">Currency</t>
  </si>
  <si>
    <t xml:space="preserve">EUR (compute suppliers invoice in USD, converted at ECB rates)</t>
  </si>
  <si>
    <t xml:space="preserve">Model status (all integrity checks)</t>
  </si>
  <si>
    <t xml:space="preserve">FY2026 revenue, outlook</t>
  </si>
  <si>
    <t xml:space="preserve">FY2026 gross margin, outlook</t>
  </si>
  <si>
    <t xml:space="preserve">FY2026 EBITDA, outlook</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</si>
  <si>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</si>
  <si>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</si>
  <si>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</si>
  <si>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</si>
  <si>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</si>
  <si>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</si>
  <si>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</si>
  <si>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</si>
  <si>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</si>
  <si>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</si>
  <si>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</si>
  <si>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revenue recognition, compute and commitments, French tax and payroll mechanics, conventions, month-end procedure,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</si>
  <si>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</si>
  <si>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</si>
  <si>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</si>
  <si>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</si>
  <si>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</si>
  <si>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</si>
  <si>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Growth, price and cost per unit, margins, compute capacity and concentration, cash and people by month, with charts</t>
  </si>
  <si>
    <t xml:space="preserve">PL</t>
  </si>
  <si>
    <t xml:space="preserve">Monthly P&amp;L: revenue by segment, compute and other cost of revenue, gross profit, research tax credit, EBITDA</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</si>
  <si>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</si>
  <si>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</si>
  <si>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</si>
  <si>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</si>
  <si>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</si>
  <si>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</si>
  <si>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revenue variance by cause; EBITDA walk</t>
  </si>
  <si>
    <t xml:space="preserve">Analysis</t>
  </si>
  <si>
    <t xml:space="preserve">Scenarios</t>
  </si>
  <si>
    <t xml:space="preserve">Base, downside and upside with live selected column</t>
  </si>
  <si>
    <t xml:space="preserve">Cash_13W</t>
  </si>
  <si>
    <t xml:space="preserve">13-week direct cash forecast: payroll, URSSAF, Agirc-Arrco, VAT and USD supplier dates, buffer control, reconciliation</t>
  </si>
  <si>
    <t xml:space="preserve">Revenue</t>
  </si>
  <si>
    <t xml:space="preserve">Revenue by segment and product, units, realised and list price per 1,000 units, visibility</t>
  </si>
  <si>
    <t xml:space="preserve">Credits</t>
  </si>
  <si>
    <t xml:space="preserve">Developer prepaid packs: credits used by pack, breakage in proportion to use, true-ups at expiry, contract liability and its schedule</t>
  </si>
  <si>
    <t xml:space="preserve">Schedule</t>
  </si>
  <si>
    <t xml:space="preserve">Team</t>
  </si>
  <si>
    <t xml:space="preserve">Team plans: customers, plan fees, usage above the allowance</t>
  </si>
  <si>
    <t xml:space="preserve">Enterprise</t>
  </si>
  <si>
    <t xml:space="preserve">Enterprise accounts and pipeline: usage, commitments, billing, unused commitments, contract balances, net revenue retention</t>
  </si>
  <si>
    <t xml:space="preserve">Usage_Compute</t>
  </si>
  <si>
    <t xml:space="preserve">Units, GPU hours, reserved capacity, research hours, tokens, compute cost in USD and EUR, provider concentration</t>
  </si>
  <si>
    <t xml:space="preserve">Commitments</t>
  </si>
  <si>
    <t xml:space="preserve">Provider A spend commitment: utilisation, expected shortfall, onerous provision (IAS 37)</t>
  </si>
  <si>
    <t xml:space="preserve">Unit_Costs</t>
  </si>
  <si>
    <t xml:space="preserve">Price and compute cost per 1,000 units by product (GPU, model API, hosting)</t>
  </si>
  <si>
    <t xml:space="preserve">Margins</t>
  </si>
  <si>
    <t xml:space="preserve">Gross margin by product and by segment, reconciled to the P&amp;L</t>
  </si>
  <si>
    <t xml:space="preserve">People</t>
  </si>
  <si>
    <t xml:space="preserve">Headcount by band, French payroll with the RGDU, Agirc-Arrco, PAS, commissions, paid leave, research time</t>
  </si>
  <si>
    <t xml:space="preserve">Research_Credit</t>
  </si>
  <si>
    <t xml:space="preserve">Research tax credit: eligible spend, accrual (IAS 20), receivable and refunds</t>
  </si>
  <si>
    <t xml:space="preserve">Receivables</t>
  </si>
  <si>
    <t xml:space="preserve">Card payouts, Enterprise receivables in and outside France, disputed invoice, VAT on uncollected invoices</t>
  </si>
  <si>
    <t xml:space="preserve">AR_Aging</t>
  </si>
  <si>
    <t xml:space="preserve">Aged receivables tied to the ledger</t>
  </si>
  <si>
    <t xml:space="preserve">AP_Aging</t>
  </si>
  <si>
    <t xml:space="preserve">Aged payables tied to the Payables schedule</t>
  </si>
  <si>
    <t xml:space="preserve">Payables</t>
  </si>
  <si>
    <t xml:space="preserve">USD compute suppliers with exchange differences, vendor C, card statements, French suppliers</t>
  </si>
  <si>
    <t xml:space="preserve">VAT</t>
  </si>
  <si>
    <t xml:space="preserve">Monthly CA3 on collections and payments, DES and reverse charge memos</t>
  </si>
  <si>
    <t xml:space="preserve">Tax</t>
  </si>
  <si>
    <t xml:space="preserve">Corporate income tax and tax losses (the research tax credit is not taxable)</t>
  </si>
  <si>
    <t xml:space="preserve">Overheads</t>
  </si>
  <si>
    <t xml:space="preserve">Overhead lines with VAT class, rent in advance, CFE and CVAE calendar</t>
  </si>
  <si>
    <t xml:space="preserve">Fixed_Assets</t>
  </si>
  <si>
    <t xml:space="preserve">IT equipment and office fit-out</t>
  </si>
  <si>
    <t xml:space="preserve">Treasury</t>
  </si>
  <si>
    <t xml:space="preserve">Interest on deposits, equity</t>
  </si>
  <si>
    <t xml:space="preserve">Account_Register</t>
  </si>
  <si>
    <t xml:space="preserve">Enterprise accounts and pipeline: terms, mix, probabilities, revenue, margin by account</t>
  </si>
  <si>
    <t xml:space="preserve">Inputs</t>
  </si>
  <si>
    <t xml:space="preserve">Assumptions</t>
  </si>
  <si>
    <t xml:space="preserve">Tax and social rates, pay bands, prices, compute rates, overheads, timeline and scenario drivers</t>
  </si>
  <si>
    <t xml:space="preserve">Inputs_Actuals</t>
  </si>
  <si>
    <t xml:space="preserve">Actual months and opening balances; the only place actual data is typed</t>
  </si>
  <si>
    <t xml:space="preserve">History</t>
  </si>
  <si>
    <t xml:space="preserve">FY2025 by month, credit packs, Enterprise usage by account</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</si>
  <si>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</si>
  <si>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</si>
  <si>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</si>
  <si>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</si>
  <si>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</si>
  <si>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</si>
  <si>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</si>
  <si>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</si>
  <si>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</si>
  <si>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</si>
  <si>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AI company in Paris that sells document, voice and agent AI three ways: Developer prepaid credit packs bought by card, Team plans with a monthly fee and usage above an allowance, and Enterprise annual commitments billed quarterly with usage above the commitment billed monthly. It closes the month into a three-statement pack, runs revenue pack by pack and account by account, measures the price and the cost to serve per unit, tracks GPU capacity and the cloud commitment, allocates gross margin by product, segment and account, accrues the research tax credit, forecasts under three scenarios, projects cash week by week for 13 weeks against the board buffer and reports to the board with quantified findings.</t>
  </si>
  <si>
    <t xml:space="preserve">Every number traces back: statement line to schedule, schedule to pack, account or input, input to the document that evidences it in a real close (billing and metering systems, credit ledger, supplier invoices, GPU scheduler, payroll journal and DSN, CA3, bank statements).</t>
  </si>
  <si>
    <t xml:space="preserve">HOW THE MODEL FLOWS</t>
  </si>
  <si>
    <t xml:space="preserve">1. Inputs_Actuals holds the actual months (packs, credits used by pack, Team customers and fees, Enterprise usage and commitments by account, units by product and segment, GPU hours, supplier invoices in USD and EUR, payroll by department, headcount by band, leave taken, overheads, receipts and payments) and the opening balance sheet. History holds FY2025 by month, the credit packs and the Enterprise usage by account. The Account_Register holds every Enterprise account and pipeline deal. Assumptions holds rates, bands, prices, compute rates, the timeline and the scenario drivers.</t>
  </si>
  <si>
    <t xml:space="preserve">2. Credits, Team and Enterprise run the three revenue models; Revenue consolidates them by segment and product with units and realised prices. Usage_Compute turns units into GPU hours, tokens and compute cost in USD and EUR; Commitments tests the Provider A commitment; Unit_Costs and Margins allocate the cost to serve. People runs French payroll by band; Research_Credit accrues the CIR.</t>
  </si>
  <si>
    <t xml:space="preserve">3. Receivables, Payables, VAT, Tax, Overheads, Fixed_Assets and Treasury roll every cash flow and balance. PL, BS and CF link only to schedules; CF is built indirectly and reconciled every month to a direct build of the schedule cash lines.</t>
  </si>
  <si>
    <t xml:space="preserve">4. BvA, Scenarios, Cash_13W, KPIs, the agings and CFO_Report are reporting layers; Checks proves the structure holds.</t>
  </si>
  <si>
    <t xml:space="preserve">REVENUE RECOGNITION (IFRS 15)</t>
  </si>
  <si>
    <t xml:space="preserve">Developer credits: a pack is a prepayment for future usage, held as a contract liability. The company expects 12% of credits never to be used (History: the 2024 packs expired with 12.2% unused), so each euro of credits used earns 1 / (1 - 12%) of revenue: breakage is recognised in proportion to the pattern of use (IFRS 15.B46). When a pack expires after 12 months the difference between its actual unused credits and the 12% is trued up. The liability is checked every month against a pack-by-pack schedule.</t>
  </si>
  <si>
    <t xml:space="preserve">Team plans: the monthly fee buys an allowance of usage that lapses at the month end; the fee is revenue in the month, and usage above the allowance is billed and earned in the month.</t>
  </si>
  <si>
    <t xml:space="preserve">Enterprise commitments: usage is revenue as it happens at contracted prices. A commitment not used by the end of the contract year cannot be carried over; it is recognised at the end of the year, when the chance of use becomes remote (IFRS 15.B46), because account-level usage cannot be estimated reliably early in the year. Quarterly billing in advance and monthly billing of usage above the commitment leave each account with a contract liability or a contract asset, which clears at every contract year end (checked).</t>
  </si>
  <si>
    <t xml:space="preserve">Credit notes: the disputed Tervane invoice carries a refund liability for the expected credit (IFRS 15.55); the difference to the final credit goes to revenue when settled.</t>
  </si>
  <si>
    <t xml:space="preserve">Commissions (6% of each commitment signed) are expensed under the IFRS 15.94 practical expedient: the amortisation period would be one year or less because renewal commissions equal those on new contracts.</t>
  </si>
  <si>
    <t xml:space="preserve">COST TO SERVE, COMPUTE AND COMMITMENTS</t>
  </si>
  <si>
    <t xml:space="preserve">Units x GPU hours per unit (FY2025 rates, falling with model optimisation) give inference GPU hours. Reserved GPUs are billed for every hour; inference above 85% of reserved hours runs on on-demand GPUs at a 74% premium; research jobs use reserved hours inference leaves and are charged to research and development. Idle reserved capacity stays in cost of revenue.</t>
  </si>
  <si>
    <t xml:space="preserve">Voice and agent products call vendor B models (USD per million tokens); document products call vendor C models (EUR). Hosting, storage and network is a fixed platform cost plus a rate per unit. Unit_Costs allocates GPU cost by GPU hours, model API cost by tokens and hosting by its drivers, so every product carries its full cost to serve.</t>
  </si>
  <si>
    <t xml:space="preserve">Provider A spend (GPUs and hosting) counts towards a take-or-pay calendar-year commitment. The expected shortfall is provided as an onerous contract (IAS 37.66 to 69) as soon as it is expected and released against the December shortfall invoice.</t>
  </si>
  <si>
    <t xml:space="preserve">USD invoices are booked at the ECB average rate of their month and paid on the 15th of the next month at the rate of that month; the difference is a realised exchange gain or loss (IAS 21.28).</t>
  </si>
  <si>
    <t xml:space="preserve">The research tax credit is a government grant under IAS 20 (refundable in cash to an SME whether or not tax is due) and sits in other operating income; EBITDA before the credit is shown as a memo.</t>
  </si>
  <si>
    <t xml:space="preserve">FRENCH TAX AND PAYROLL MECHANICS MODELLED</t>
  </si>
  <si>
    <t xml:space="preserve">VAT 20% on customers in France (CGI art. 278). VAT on services is due when the price is collected, not when invoiced (CGI art. 269-2-c; BOFiP BOI-TVA-BASE-20-20): card sales pay VAT at purchase, French Enterprise invoices carry a VAT liability until paid, and VAT on French supplier services is deducted when paid. Services to EU businesses are reverse charged by the customer and declared on the DES; services bought abroad are self-assessed. The CA3 is monthly, paid on the company date between the 15th and the 24th (the 19th).</t>
  </si>
  <si>
    <t xml:space="preserve">Corporate income tax 25% (CGI art. 219). Losses carried forward offset EUR 1m plus 50% of the profit above it (CGI art. 209-I). The research tax credit is not taxable income.</t>
  </si>
  <si>
    <t xml:space="preserve">Research tax credit (CGI art. 244 quater B): 30% of eligible spend; operating costs at a flat 40% of eligible personnel costs for expenses from 15 February 2025 (43% before; loi de finances pour 2025, BOFiP). Refunded in cash to an SME (CGI art. 199 ter B); the FY2025 claim was refunded in July 2026.</t>
  </si>
  <si>
    <t xml:space="preserve">Payroll 2026 (URSSAF and Agirc-Arrco rates as on Assumptions): from 1 January 2026 the general degressive reduction (RGDU) applies up to 3 x SMIC with Tmin 0.02, Tdelta 0.3821 and exponent 1.75 for employers with 50 or more staff, and the reduced health and family allowance rates are abolished for ordinary employers (service-public.gouv.fr). Transport levy 3.20% in Paris. Monthly ceiling EUR 4,005. URSSAF contributions and income tax withheld at source are paid by the 5th of the following month, Agirc-Arrco by the 25th.</t>
  </si>
  <si>
    <t xml:space="preserve">Local business taxes: CFE due 15 December with a June instalment; CVAE instalments on 15 June and 15 September and the balance with the 1329-DEF in May; CVAE rates frozen for 2026 and 2027 (loi de finances pour 2026). E-invoicing: reception from 1 September 2026, issuance for an SME from 1 September 2027.</t>
  </si>
  <si>
    <t xml:space="preserve">CONVENTIONS</t>
  </si>
  <si>
    <t xml:space="preserve">Revenue and receipts positive; costs, payments and deductions negative on the P&amp;L and cash flow. Schedules show movements with their natural sign and a closing line.</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</si>
  <si>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</si>
  <si>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</si>
  <si>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Enterprise renewals and pipeline deals are expected values: usage, commitments, billing and cash are scaled by the probability of the selected scenario.</t>
  </si>
  <si>
    <t xml:space="preserve">MONTH-END PROCEDURE (adding September as an actual month)</t>
  </si>
  <si>
    <t xml:space="preserve">1. Export the billing, metering and credit ledgers: packs sold, credits used by pack, Team customers and fees, Enterprise usage and commitments by account, units by product and segment. Enter supplier invoices (USD and EUR), GPU scheduler hours, the payroll journal by department, headcount by band, leave taken, commissions, research time, overheads, capex, receipts and payments.</t>
  </si>
  <si>
    <t xml:space="preserve">2. Change the last actual month on Assumptions to Sep-26 and enter the September ECB average rate on the timeline. Flags, the agings, the 13-week opening and the year-to-date references follow.</t>
  </si>
  <si>
    <t xml:space="preserve">3. Update the Account_Register (renewals, pipeline, probabilities) and the CFO estimate of the Provider A shortfall.</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</si>
  <si>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</si>
  <si>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</si>
  <si>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</si>
  <si>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the scenario selector on Assumptions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</si>
  <si>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</si>
  <si>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Developer packs in the forecast follow the usage curve; each pack bought in the actual months keeps its actual usage to date and is trued up at expiry.</t>
  </si>
  <si>
    <t xml:space="preserve">Enterprise usage is modelled in euros at contracted prices; units follow the list price less the account discount. A list price cut is assumed to leave customer budgets unchanged, so it buys more units and raises the cost to serve.</t>
  </si>
  <si>
    <t xml:space="preserve">Salaries are band averages; the RGDU is computed monthly on the monthly SMIC (the annual regularisation is not modelled). Commissions carry contributions at the marginal rates of an account executive.</t>
  </si>
  <si>
    <t xml:space="preserve">Open USD payables are carried at the invoice-month rate; the exchange difference is taken on settlement one month later.</t>
  </si>
  <si>
    <t xml:space="preserve">Tax is charged on the year-to-date profit; no deferred tax asset is recognised on the tax losses. The office lease is expensed as rent (IFRS 16 not applied). No JEI status is assumed.</t>
  </si>
  <si>
    <t xml:space="preserve">INFORMATION NEEDED TO CONVERT THIS INTO A CLIENT BUILD</t>
  </si>
  <si>
    <t xml:space="preserve">Billing, metering and credit ledger exports by customer and month for FY2024 to FY2026, with pack expiries and credit notes.</t>
  </si>
  <si>
    <t xml:space="preserve">Enterprise contracts: commitments, contracted prices, true-up and rollover clauses, renewal dates and notice periods; the CRM pipeline.</t>
  </si>
  <si>
    <t xml:space="preserve">Provider A, vendor B and vendor C contracts: reservations, commitments, shortfall and rollover terms, price schedules; the GPU scheduler logs.</t>
  </si>
  <si>
    <t xml:space="preserve">Payroll register by person with contract type, AT/MP notified rate, withholding rates; the 2027 pay review; the research time records and technical files supporting the CIR claims.</t>
  </si>
  <si>
    <t xml:space="preserve">Confirmation of SME status under the EU definition for the immediate CIR refund; the CFE and CVAE notices.</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</si>
  <si>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</si>
  <si>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</si>
  <si>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</si>
  <si>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</si>
  <si>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</si>
  <si>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</si>
  <si>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</si>
  <si>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</si>
  <si>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</si>
  <si>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</si>
  <si>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</si>
  <si>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</si>
  <si>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</si>
  <si>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</si>
  <si>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Accumulated losses roll: closing = opening + net result</t>
  </si>
  <si>
    <t xml:space="preserve">Equity roll-forward to Dec-27</t>
  </si>
  <si>
    <t xml:space="preserve">Opening balance sheet at 31-Dec-25 balances</t>
  </si>
  <si>
    <t xml:space="preserve">FY2025 closing balances on Inputs_Actuals</t>
  </si>
  <si>
    <t xml:space="preserve">REVENUE AND CONTRACT BALANCES</t>
  </si>
  <si>
    <t xml:space="preserve">Developer credits: liability roll-forward equals the pack schedule, every month</t>
  </si>
  <si>
    <t xml:space="preserve">Packs live less credits used grossed up for breakage</t>
  </si>
  <si>
    <t xml:space="preserve">Opening Developer liability equals the pack schedule at 31-Dec-25</t>
  </si>
  <si>
    <t xml:space="preserve">FY2025 accounts agree with the credit ledger</t>
  </si>
  <si>
    <t xml:space="preserve">Usage curve of a pack adds up to one less the expected breakage</t>
  </si>
  <si>
    <t xml:space="preserve">Every credit is used or expires</t>
  </si>
  <si>
    <t xml:space="preserve">Team customers: billing system equals the bridge (actual months)</t>
  </si>
  <si>
    <t xml:space="preserve">New and lost customers explain the base</t>
  </si>
  <si>
    <t xml:space="preserve">Enterprise: every contract position clears at the end of its contract year</t>
  </si>
  <si>
    <t xml:space="preserve">Commitment billed + usage above it = usage + unused commitment</t>
  </si>
  <si>
    <t xml:space="preserve">Enterprise: change in net contract positions equals billing less revenue, every month</t>
  </si>
  <si>
    <t xml:space="preserve">Contract liabilities and assets tie to the account schedules</t>
  </si>
  <si>
    <t xml:space="preserve">Revenue by product adds up to total revenue, every month</t>
  </si>
  <si>
    <t xml:space="preserve">Mix by segment and account covers every euro</t>
  </si>
  <si>
    <t xml:space="preserve">P&amp;L revenue equals the revenue schedule, every month</t>
  </si>
  <si>
    <t xml:space="preserve">COMPUTE, COMMITMENT AND MARGINS</t>
  </si>
  <si>
    <t xml:space="preserve">GPU scheduler hours equal units x GPU hours per unit (actual months, within 1 hour)</t>
  </si>
  <si>
    <t xml:space="preserve">Metering and compute agree</t>
  </si>
  <si>
    <t xml:space="preserve">On-demand hours equal inference above usable reserved capacity (forecast months)</t>
  </si>
  <si>
    <t xml:space="preserve">Capacity rule applied</t>
  </si>
  <si>
    <t xml:space="preserve">Product compute costs add up to compute in cost of revenue, every month</t>
  </si>
  <si>
    <t xml:space="preserve">Allocation by GPU hours, tokens and hosting drivers is complete</t>
  </si>
  <si>
    <t xml:space="preserve">Onerous provision equals the expected commitment shortfall (forecast months)</t>
  </si>
  <si>
    <t xml:space="preserve">IAS 37 provision follows the full-year spend</t>
  </si>
  <si>
    <t xml:space="preserve">Gross margin by product reconciles to the P&amp;L gross profit, every month</t>
  </si>
  <si>
    <t xml:space="preserve">Revenue, compute, card fees and support fully allocated</t>
  </si>
  <si>
    <t xml:space="preserve">Gross margin by segment equals gross margin by product, every month</t>
  </si>
  <si>
    <t xml:space="preserve">PEOPLE</t>
  </si>
  <si>
    <t xml:space="preserve">Gross salaries equal net pay plus employee contributions and withholding, every month</t>
  </si>
  <si>
    <t xml:space="preserve">Payroll journal integrity</t>
  </si>
  <si>
    <t xml:space="preserve">URSSAF payable at each forecast month end equals the month due</t>
  </si>
  <si>
    <t xml:space="preserve">Paid the following month</t>
  </si>
  <si>
    <t xml:space="preserve">Withholding at source payable at each forecast month end equals the month due</t>
  </si>
  <si>
    <t xml:space="preserve">Agirc-Arrco and schemes payable at each forecast month end equals the month due</t>
  </si>
  <si>
    <t xml:space="preserve">RGDU coefficient never above its maximum (Tmin + Tdelta)</t>
  </si>
  <si>
    <t xml:space="preserve">Headroom to 0.4021</t>
  </si>
  <si>
    <t xml:space="preserve">TAX AND RESEARCH TAX CREDIT</t>
  </si>
  <si>
    <t xml:space="preserve">VAT position equals the month plus any credit carried, every month</t>
  </si>
  <si>
    <t xml:space="preserve">Monthly CA3</t>
  </si>
  <si>
    <t xml:space="preserve">Opening VAT on uncollected French invoices and on unpaid French supplier invoices equal 20/120 of the balances</t>
  </si>
  <si>
    <t xml:space="preserve">VAT on services due on collection and deducted on payment</t>
  </si>
  <si>
    <t xml:space="preserve">Research tax credit receivable equals the claims still open, every month</t>
  </si>
  <si>
    <t xml:space="preserve">FY2025, FY2026 and FY2027 claims</t>
  </si>
  <si>
    <t xml:space="preserve">FY2026 and FY2027 credits equal 30% x (eligible personnel + 40%)</t>
  </si>
  <si>
    <t xml:space="preserve">CIR arithmetic</t>
  </si>
  <si>
    <t xml:space="preserve">Local business taxes accrued at December equal the CVAE of the year less its instalments</t>
  </si>
  <si>
    <t xml:space="preserve">CFE and CVAE calendar</t>
  </si>
  <si>
    <t xml:space="preserve">Tax losses at Dec-27 = opening + losses of FY2026 and FY2027 - losses used</t>
  </si>
  <si>
    <t xml:space="preserve">Losses roll, CIR excluded from taxable income</t>
  </si>
  <si>
    <t xml:space="preserve">Corporate income tax charged only on taxable profit after losses (FY2026 and FY2027)</t>
  </si>
  <si>
    <t xml:space="preserve">25% after the EUR 1m plus 50% rule</t>
  </si>
  <si>
    <t xml:space="preserve">WORKING CAPITAL TIE-OUTS</t>
  </si>
  <si>
    <t xml:space="preserve">AR aging: Enterprise, France ties to the ledger</t>
  </si>
  <si>
    <t xml:space="preserve">Item listing agrees with the balance at the last actual month</t>
  </si>
  <si>
    <t xml:space="preserve">AR aging: Enterprise, outside France ties to the ledger</t>
  </si>
  <si>
    <t xml:space="preserve">AP aging: Compute suppliers (USD) ties to the Payables schedule</t>
  </si>
  <si>
    <t xml:space="preserve">AP aging: Model API vendor C (EUR) ties to the Payables schedule</t>
  </si>
  <si>
    <t xml:space="preserve">AP aging: Card suppliers ties to the Payables schedule</t>
  </si>
  <si>
    <t xml:space="preserve">AP aging: French suppliers ties to the Payables schedule</t>
  </si>
  <si>
    <t xml:space="preserve">Card processor balance is nil to the euro, every month</t>
  </si>
  <si>
    <t xml:space="preserve">Payouts equal charges less fees</t>
  </si>
  <si>
    <t xml:space="preserve">Forecast Enterprise receivables equal the collection rule every month</t>
  </si>
  <si>
    <t xml:space="preserve">Receipts never collect an invoice twice when the days change</t>
  </si>
  <si>
    <t xml:space="preserve">USD payable at each month end equals the month invoices at the month rate</t>
  </si>
  <si>
    <t xml:space="preserve">Exchange differences taken on settlement (IAS 21)</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</si>
  <si>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</si>
  <si>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</si>
  <si>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</si>
  <si>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</si>
  <si>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</si>
  <si>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revenue causes reconcile (YTD and FY)</t>
  </si>
  <si>
    <t xml:space="preserve">Volume, price and account effects equal the revenue variance</t>
  </si>
  <si>
    <t xml:space="preserve">EBITDA walk from budget to actual reconciles</t>
  </si>
  <si>
    <t xml:space="preserve">Variances explain the full EBITDA gap</t>
  </si>
  <si>
    <t xml:space="preserve">SIGN AND RANGE CHECKS (minimum values, must not be negative)</t>
  </si>
  <si>
    <t xml:space="preserve">Enterprise receivables never negative</t>
  </si>
  <si>
    <t xml:space="preserve">Trade payables never negative</t>
  </si>
  <si>
    <t xml:space="preserve">Developer liability and every pack balance never negative</t>
  </si>
  <si>
    <t xml:space="preserve">Enterprise usage and commitments never negative (every account, every month)</t>
  </si>
  <si>
    <t xml:space="preserve">Paid leave days outstanding never negative</t>
  </si>
  <si>
    <t xml:space="preserve">Headcount never negative</t>
  </si>
  <si>
    <t xml:space="preserve">Fixed assets and the CIR receivable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</si>
  <si>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</si>
  <si>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</si>
  <si>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</si>
  <si>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</si>
  <si>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Board buffer: Assumptions</t>
  </si>
  <si>
    <t xml:space="preserve">Headroom over the buffer at the lowest point</t>
  </si>
  <si>
    <t xml:space="preserve">Negative = below the board buffer</t>
  </si>
  <si>
    <t xml:space="preserve">Lowest 13-week closing cash</t>
  </si>
  <si>
    <t xml:space="preserve">Enterprise net revenue retention on usage at Dec-27</t>
  </si>
  <si>
    <t xml:space="preserve">Below 100% the installed base shrinks without new sales</t>
  </si>
  <si>
    <t xml:space="preserve">Largest account share of FY2026 revenue</t>
  </si>
  <si>
    <t xml:space="preserve">Above 10% is a concentration risk</t>
  </si>
  <si>
    <t xml:space="preserve">Disputed Tervane invoice open at the last actual month (EUR)</t>
  </si>
  <si>
    <t xml:space="preserve">Credit share and month are scenario drivers</t>
  </si>
  <si>
    <t xml:space="preserve">Provider A 2026 commitment: expected shortfall (USD)</t>
  </si>
  <si>
    <t xml:space="preserve">Provided under IAS 37; paid in January unless rolled into 2027</t>
  </si>
  <si>
    <t xml:space="preserve">FY2027 revenue running on vendor B models</t>
  </si>
  <si>
    <t xml:space="preserve">Single model vendor for voice and agents</t>
  </si>
  <si>
    <t xml:space="preserve">CFO MANAGEMENT REPORT</t>
  </si>
  <si>
    <t xml:space="preserve">FICTIONAL DEMONSTRATION: Serennix AI SAS and every figure in this report were generated for demonstration purposes.</t>
  </si>
  <si>
    <t xml:space="preserve">1. HEADLINE</t>
  </si>
  <si>
    <t xml:space="preserve">2. WHAT HAPPENED YEAR TO DATE (BvA: revenue by cause and the EBITDA walk)</t>
  </si>
  <si>
    <t xml:space="preserve">3. REVENUE: USAGE, PRICING AND CONTRACT BALANCES (Revenue, Credits, Team, Enterprise)</t>
  </si>
  <si>
    <t xml:space="preserve">4. COST TO SERVE AND PRICE PER UNIT (Unit_Costs, Usage_Compute)</t>
  </si>
  <si>
    <t xml:space="preserve">5. GROSS MARGIN BY PRODUCT, SEGMENT AND ACCOUNT (Margins, Account_Register)</t>
  </si>
  <si>
    <t xml:space="preserve">6. COMPUTE CAPACITY, THE CLOUD COMMITMENT AND PROVIDER CONCENTRATION (Usage_Compute, Commitments)</t>
  </si>
  <si>
    <t xml:space="preserve">7. PEOPLE, RESEARCH AND THE RESEARCH TAX CREDIT (People, Research_Credit)</t>
  </si>
  <si>
    <t xml:space="preserve">8. CASH, TAX AND THE 13 WEEKS (Cash_13W, VAT, Tax, Payables)</t>
  </si>
  <si>
    <t xml:space="preserve">9. SCENARIOS (Scenarios sheet; snapshot values from three full model runs)</t>
  </si>
  <si>
    <t xml:space="preserve">10. RISK REGISTER (scored 1 to 5; score = likelihood x impact)</t>
  </si>
  <si>
    <t xml:space="preserve">Risk</t>
  </si>
  <si>
    <t xml:space="preserve">Likelihood</t>
  </si>
  <si>
    <t xml:space="preserve">Impact</t>
  </si>
  <si>
    <t xml:space="preserve">Score</t>
  </si>
  <si>
    <t xml:space="preserve">Mitigation and owner</t>
  </si>
  <si>
    <t xml:space="preserve">Series C plan to the board by November; process from the first quarter of 2027; monthly cash review against the buffer; CEO and BriQs CFO</t>
  </si>
  <si>
    <t xml:space="preserve">Second voice model qualified by December; routing between models; price protection in the renewal of the vendor B contract; CTO</t>
  </si>
  <si>
    <t xml:space="preserve">Price list for 2027 set after the vendor B answer; value-based pricing for Enterprise workflows; CEO and Head of sales</t>
  </si>
  <si>
    <t xml:space="preserve">2027 reservation decided by November; efficiency roadmap per product; CTO and Finance lead</t>
  </si>
  <si>
    <t xml:space="preserve">Roll the shortfall into the 2027 commitment; size 2027 to the plan with a usage review each quarter; Finance lead</t>
  </si>
  <si>
    <t xml:space="preserve">Usage reviews each quarter with every account; renewal plan 90 days before each anniversary; Head of customer success</t>
  </si>
  <si>
    <t xml:space="preserve">SME status confirmed by the tax adviser; time records and technical files kept monthly; Finance lead</t>
  </si>
  <si>
    <t xml:space="preserve">Onboarding for the first 60 days; usage alerts before the allowance runs out; Head of marketing</t>
  </si>
  <si>
    <t xml:space="preserve">Idempotent retries so a retried call is never billed twice; incident credits policy; CTO</t>
  </si>
  <si>
    <t xml:space="preserve">Key people: the machine learning research team holds the models and the Paris market for that profile is tight</t>
  </si>
  <si>
    <t xml:space="preserve">Retention plan for the ten most critical researchers and engineers; succession cover for each lead; CEO</t>
  </si>
  <si>
    <t xml:space="preserve">11. ACTIONS (owner, due date, status)</t>
  </si>
  <si>
    <t xml:space="preserve">Action</t>
  </si>
  <si>
    <t xml:space="preserve">Owner</t>
  </si>
  <si>
    <t xml:space="preserve">Due</t>
  </si>
  <si>
    <t xml:space="preserve">Measure of done</t>
  </si>
  <si>
    <t xml:space="preserve">Series C plan for the board: amount, timing and milestones, with cash against the buffer by month in each scenario</t>
  </si>
  <si>
    <t xml:space="preserve">CEO and BriQs CFO</t>
  </si>
  <si>
    <t xml:space="preserve">Open</t>
  </si>
  <si>
    <t xml:space="preserve">Board decision on the round and the timetable</t>
  </si>
  <si>
    <t xml:space="preserve">2027 GPU reservation and Provider A commitment, with the 2026 shortfall rolled into 2027</t>
  </si>
  <si>
    <t xml:space="preserve">CTO and Finance lead</t>
  </si>
  <si>
    <t xml:space="preserve">Signed order form; shortfall rollover in writing</t>
  </si>
  <si>
    <t xml:space="preserve">Vendor B: confirm the fourth-quarter price and qualify a second voice model</t>
  </si>
  <si>
    <t xml:space="preserve">CTO</t>
  </si>
  <si>
    <t xml:space="preserve">Price confirmed in writing; second model live for at least 10% of voice traffic</t>
  </si>
  <si>
    <t xml:space="preserve">2027 price list: size of the cut by product, Enterprise renewal pricing, Maltessa Telecom repricing plan</t>
  </si>
  <si>
    <t xml:space="preserve">CEO and Head of sales</t>
  </si>
  <si>
    <t xml:space="preserve">Price list approved after the vendor B answer</t>
  </si>
  <si>
    <t xml:space="preserve">Research tax credit: SME status confirmation, FY2026 time records file and a prefinancing quote</t>
  </si>
  <si>
    <t xml:space="preserve">Finance lead with the tax adviser</t>
  </si>
  <si>
    <t xml:space="preserve">Adviser opinion on file; prefinancing terms received</t>
  </si>
  <si>
    <t xml:space="preserve">Tervane dispute: engineering review of the call logs and settlement of the May invoice</t>
  </si>
  <si>
    <t xml:space="preserve">Finance lead and Head of customer success</t>
  </si>
  <si>
    <t xml:space="preserve">In progress</t>
  </si>
  <si>
    <t xml:space="preserve">Credit note for the calls proven duplicated; balance collected</t>
  </si>
  <si>
    <t xml:space="preserve">E-invoicing: confirm reception through the approved platform and plan issuance from September 2027</t>
  </si>
  <si>
    <t xml:space="preserve">Finance lead</t>
  </si>
  <si>
    <t xml:space="preserve">Supplier invoices received electronically; issuance project in the 2027 budget</t>
  </si>
  <si>
    <t xml:space="preserve">Unit cost dashboard: price and compute cost per 1,000 units by product in every monthly pack</t>
  </si>
  <si>
    <t xml:space="preserve">BriQs CFO</t>
  </si>
  <si>
    <t xml:space="preserve">Dashboard in the September pack</t>
  </si>
  <si>
    <t xml:space="preserve">Downside plan: triggers, the hiring response and the order of cash levers</t>
  </si>
  <si>
    <t xml:space="preserve">Plan approved by the board and attached to the October pack</t>
  </si>
  <si>
    <t xml:space="preserve">12. INFORMATION NEEDED BEFORE THE SEPTEMBER CLOSE</t>
  </si>
  <si>
    <t xml:space="preserve">The September billing, metering and credit ledger exports: packs sold and credits used by pack, Team customers and fees, Enterprise usage and commitments by account.</t>
  </si>
  <si>
    <t xml:space="preserve">Provider A and vendor B invoices for September in USD and the September ECB average rate; the GPU scheduler hours.</t>
  </si>
  <si>
    <t xml:space="preserve">Vendor B: the confirmed price for the fourth quarter.</t>
  </si>
  <si>
    <t xml:space="preserve">Tervane Assurances: the outcome of the engineering review of the call logs.</t>
  </si>
  <si>
    <t xml:space="preserve">The tax adviser opinion on SME status for the research tax credit refund, and the AT/MP rate notified for 2026.</t>
  </si>
  <si>
    <t xml:space="preserve">The 2027 pay review proposal and, when published, the 2027 social security ceiling and SMIC.</t>
  </si>
  <si>
    <t xml:space="preserve">KPI DASHBOARD</t>
  </si>
  <si>
    <t xml:space="preserve">Live links into the statements and schedules. C = FY2026 (actual + forecast), D = FY2027; balances and trailing measures at the year end unless labelled.</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</si>
  <si>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</si>
  <si>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</si>
  <si>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</si>
  <si>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</si>
  <si>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</si>
  <si>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</si>
  <si>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</si>
  <si>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</si>
  <si>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REVENUE QUALITY</t>
  </si>
  <si>
    <t xml:space="preserve">Revenue growth on the same month a year earlier</t>
  </si>
  <si>
    <t xml:space="preserve">Revenue: Developer</t>
  </si>
  <si>
    <t xml:space="preserve">Revenue: Team</t>
  </si>
  <si>
    <t xml:space="preserve">Revenue: Enterprise</t>
  </si>
  <si>
    <t xml:space="preserve">Pure usage revenue, share</t>
  </si>
  <si>
    <t xml:space="preserve">Enterprise net revenue retention on usage, trailing 12 months</t>
  </si>
  <si>
    <t xml:space="preserve">Team customers</t>
  </si>
  <si>
    <t xml:space="preserve">Developer credit packs sold</t>
  </si>
  <si>
    <t xml:space="preserve">Breakage recognised</t>
  </si>
  <si>
    <t xml:space="preserve">Enterprise accounts with a commitment</t>
  </si>
  <si>
    <t xml:space="preserve">PRICE AND COST TO SERVE (EUR per 1,000 units)</t>
  </si>
  <si>
    <t xml:space="preserve">Realised price: Document AI</t>
  </si>
  <si>
    <t xml:space="preserve">Realised price: Voice AI</t>
  </si>
  <si>
    <t xml:space="preserve">Realised price: Agent workspace</t>
  </si>
  <si>
    <t xml:space="preserve">Compute cost: Document AI</t>
  </si>
  <si>
    <t xml:space="preserve">Compute cost: Voice AI</t>
  </si>
  <si>
    <t xml:space="preserve">Compute cost: Agent workspace</t>
  </si>
  <si>
    <t xml:space="preserve">Compute in cost of revenue % of revenue</t>
  </si>
  <si>
    <t xml:space="preserve">Gross margin %</t>
  </si>
  <si>
    <t xml:space="preserve">Gross margin %: Document AI</t>
  </si>
  <si>
    <t xml:space="preserve">Gross margin %: Voice AI</t>
  </si>
  <si>
    <t xml:space="preserve">Gross margin %: Agent workspace</t>
  </si>
  <si>
    <t xml:space="preserve">Gross margin %: Developer</t>
  </si>
  <si>
    <t xml:space="preserve">Gross margin %: Team</t>
  </si>
  <si>
    <t xml:space="preserve">Gross margin %: Enterprise</t>
  </si>
  <si>
    <t xml:space="preserve">COMPUTE CAPACITY, COMMITMENT AND CONCENTRATION</t>
  </si>
  <si>
    <t xml:space="preserve">Reserved GPU capacity used</t>
  </si>
  <si>
    <t xml:space="preserve">On-demand GPU hours</t>
  </si>
  <si>
    <t xml:space="preserve">Provider A commitment: utilisation to date</t>
  </si>
  <si>
    <t xml:space="preserve">Provider A commitment: expected shortfall for the year (USD)</t>
  </si>
  <si>
    <t xml:space="preserve">Share of compute: Provider A</t>
  </si>
  <si>
    <t xml:space="preserve">Share of compute: model API vendor B</t>
  </si>
  <si>
    <t xml:space="preserve">Revenue running on vendor B models</t>
  </si>
  <si>
    <t xml:space="preserve">CASH, RESEARCH TAX CREDIT AND PEOPLE</t>
  </si>
  <si>
    <t xml:space="preserve">Cash at bank</t>
  </si>
  <si>
    <t xml:space="preserve">Minimum cash buffer (board policy)</t>
  </si>
  <si>
    <t xml:space="preserve">Headroom over the buffer</t>
  </si>
  <si>
    <t xml:space="preserve">Net burn (cash used before financing)</t>
  </si>
  <si>
    <t xml:space="preserve">Average net burn, last three months</t>
  </si>
  <si>
    <t xml:space="preserve">Runway to the buffer (months at the last three months burn; 60 = cash generative)</t>
  </si>
  <si>
    <t xml:space="preserve">Research tax credit receivable</t>
  </si>
  <si>
    <t xml:space="preserve">Research tax credit accrued</t>
  </si>
  <si>
    <t xml:space="preserve">EBITDA</t>
  </si>
  <si>
    <t xml:space="preserve">EBITDA before the research tax credit</t>
  </si>
  <si>
    <t xml:space="preserve">Contract liabilities (Developer credits and Enterprise)</t>
  </si>
  <si>
    <t xml:space="preserve">Headcount</t>
  </si>
  <si>
    <t xml:space="preserve">Revenue per employee, annualised</t>
  </si>
  <si>
    <t xml:space="preserve">PROFIT AND LOSS</t>
  </si>
  <si>
    <t xml:space="preserve">Monthly, actual Jan-26 to Aug-26 and forecast to Dec-27 for the selected scenario. Revenue positive, costs negative. Cost of revenue = inference compute (reserved GPUs incl. idle capacity, on-demand GPUs, model APIs, hosting), unused committed cloud spend, card fees and the solutions, support and success team. The research tax credit is a grant (IAS 20) in other operating income.</t>
  </si>
  <si>
    <t xml:space="preserve">REVENUE (IFRS 15)</t>
  </si>
  <si>
    <t xml:space="preserve">Developer: prepaid credits used, breakage and true-ups</t>
  </si>
  <si>
    <t xml:space="preserve">Team: plan fees</t>
  </si>
  <si>
    <t xml:space="preserve">Team: usage above the allowance</t>
  </si>
  <si>
    <t xml:space="preserve">Enterprise: usage</t>
  </si>
  <si>
    <t xml:space="preserve">Enterprise: unused commitments at contract year end</t>
  </si>
  <si>
    <t xml:space="preserve">Enterprise: credit notes and refund liability</t>
  </si>
  <si>
    <t xml:space="preserve">REVENUE</t>
  </si>
  <si>
    <t xml:space="preserve">COST OF REVENUE</t>
  </si>
  <si>
    <t xml:space="preserve">Reserved GPUs: inference and idle capacity</t>
  </si>
  <si>
    <t xml:space="preserve">On-demand GPUs</t>
  </si>
  <si>
    <t xml:space="preserve">Model API vendor B (voice and agent models)</t>
  </si>
  <si>
    <t xml:space="preserve">Model API vendor C (document models)</t>
  </si>
  <si>
    <t xml:space="preserve">Hosting, storage and network</t>
  </si>
  <si>
    <t xml:space="preserve">Unused committed cloud spend (IAS 37)</t>
  </si>
  <si>
    <t xml:space="preserve">Card processing fees</t>
  </si>
  <si>
    <t xml:space="preserve">Solutions, support and customer success payroll</t>
  </si>
  <si>
    <t xml:space="preserve">TOTAL COST OF REVENUE</t>
  </si>
  <si>
    <t xml:space="preserve">GROSS PROFIT</t>
  </si>
  <si>
    <t xml:space="preserve">revenue - cost of revenue</t>
  </si>
  <si>
    <t xml:space="preserve">Gross margin % of revenue</t>
  </si>
  <si>
    <t xml:space="preserve">OPERATING EXPENSES</t>
  </si>
  <si>
    <t xml:space="preserve">Research and development payroll</t>
  </si>
  <si>
    <t xml:space="preserve">Research compute (reserved GPU hours used for training and experiments)</t>
  </si>
  <si>
    <t xml:space="preserve">Sales and marketing payroll incl. commissions</t>
  </si>
  <si>
    <t xml:space="preserve">Paid media and content</t>
  </si>
  <si>
    <t xml:space="preserve">Events and conferences</t>
  </si>
  <si>
    <t xml:space="preserve">General and administrative payroll</t>
  </si>
  <si>
    <t xml:space="preserve">Software and IT tools</t>
  </si>
  <si>
    <t xml:space="preserve">Office rent, Paris</t>
  </si>
  <si>
    <t xml:space="preserve">Legal, statutory audit and accounting</t>
  </si>
  <si>
    <t xml:space="preserve">Insurance</t>
  </si>
  <si>
    <t xml:space="preserve">Recruitment</t>
  </si>
  <si>
    <t xml:space="preserve">Travel</t>
  </si>
  <si>
    <t xml:space="preserve">Local business taxes (CFE and CVAE)</t>
  </si>
  <si>
    <t xml:space="preserve">TOTAL OPERATING EXPENSES</t>
  </si>
  <si>
    <t xml:space="preserve">Research tax credit (CIR), other operating income (IAS 20)</t>
  </si>
  <si>
    <t xml:space="preserve">EBITDA % of revenue</t>
  </si>
  <si>
    <t xml:space="preserve">EBITDA before the research tax credit (memo)</t>
  </si>
  <si>
    <t xml:space="preserve">BELOW EBITDA</t>
  </si>
  <si>
    <t xml:space="preserve">Depreciation</t>
  </si>
  <si>
    <t xml:space="preserve">EBIT</t>
  </si>
  <si>
    <t xml:space="preserve">Interest on deposits</t>
  </si>
  <si>
    <t xml:space="preserve">Exchange differences on USD supplier payments</t>
  </si>
  <si>
    <t xml:space="preserve">PROFIT / (LOSS) BEFORE TAX</t>
  </si>
  <si>
    <t xml:space="preserve">Corporate income tax</t>
  </si>
  <si>
    <t xml:space="preserve">NET PROFIT / (LOSS)</t>
  </si>
  <si>
    <t xml:space="preserve">Net profit % of revenue</t>
  </si>
  <si>
    <t xml:space="preserve">SEGMENT AND FUNCTIONAL VIEW (memo)</t>
  </si>
  <si>
    <t xml:space="preserve">Compute in cost of revenue</t>
  </si>
  <si>
    <t xml:space="preserve">Research and development (payroll and compute), before the CIR</t>
  </si>
  <si>
    <t xml:space="preserve">Sales and marketing</t>
  </si>
  <si>
    <t xml:space="preserve">General and administrative</t>
  </si>
  <si>
    <t xml:space="preserve">Research and development % of revenue</t>
  </si>
  <si>
    <t xml:space="preserve">Sales and marketing % of revenue</t>
  </si>
  <si>
    <t xml:space="preserve">General and administrative % of revenue</t>
  </si>
  <si>
    <t xml:space="preserve">Management accounts under IFRS 15, IAS 20, IAS 21 and IAS 37. The statutory accounts follow French GAAP (PCG); the model does not compute differences between the two or deferred tax. The office lease is expensed as rent (IFRS 16 not applied).</t>
  </si>
  <si>
    <t xml:space="preserve">BALANCE SHEET</t>
  </si>
  <si>
    <t xml:space="preserve">Every balance comes from a schedule. The check row must be zero in every month.</t>
  </si>
  <si>
    <t xml:space="preserve">ASSETS</t>
  </si>
  <si>
    <t xml:space="preserve">Cash at bank and term deposits</t>
  </si>
  <si>
    <t xml:space="preserve">Card processor balance</t>
  </si>
  <si>
    <t xml:space="preserve">Enterprise receivables: accounts in France (incl. VAT)</t>
  </si>
  <si>
    <t xml:space="preserve">Enterprise receivables: accounts outside France</t>
  </si>
  <si>
    <t xml:space="preserve">Contract assets: Enterprise usage ahead of billing</t>
  </si>
  <si>
    <t xml:space="preserve">VAT to deduct on French supplier invoices not yet paid</t>
  </si>
  <si>
    <t xml:space="preserve">Prepaid rent</t>
  </si>
  <si>
    <t xml:space="preserve">Other prepayments</t>
  </si>
  <si>
    <t xml:space="preserve">opening balance, no movement modelled</t>
  </si>
  <si>
    <t xml:space="preserve">Rent deposit</t>
  </si>
  <si>
    <t xml:space="preserve">opening balance</t>
  </si>
  <si>
    <t xml:space="preserve">Fixed assets (IT equipment and office fit-out)</t>
  </si>
  <si>
    <t xml:space="preserve">TOTAL ASSETS</t>
  </si>
  <si>
    <t xml:space="preserve">LIABILITIES</t>
  </si>
  <si>
    <t xml:space="preserve">Trade payables: compute suppliers in USD</t>
  </si>
  <si>
    <t xml:space="preserve">Trade payables: model API vendor C</t>
  </si>
  <si>
    <t xml:space="preserve">Trade payables: company card statements</t>
  </si>
  <si>
    <t xml:space="preserve">Trade payables: French suppliers</t>
  </si>
  <si>
    <t xml:space="preserve">Contract liabilities: Enterprise commitments billed ahead of usage</t>
  </si>
  <si>
    <t xml:space="preserve">Contract liabilities: Developer credits</t>
  </si>
  <si>
    <t xml:space="preserve">Refund liability: expected credit notes</t>
  </si>
  <si>
    <t xml:space="preserve">VAT payable / (credit carried forward)</t>
  </si>
  <si>
    <t xml:space="preserve">VAT on French invoices not yet collected</t>
  </si>
  <si>
    <t xml:space="preserve">URSSAF payable</t>
  </si>
  <si>
    <t xml:space="preserve">Income tax withheld at source payable</t>
  </si>
  <si>
    <t xml:space="preserve">Agirc-Arrco and schemes payable</t>
  </si>
  <si>
    <t xml:space="preserve">Commissions payable</t>
  </si>
  <si>
    <t xml:space="preserve">Employer contributions accrued on commissions</t>
  </si>
  <si>
    <t xml:space="preserve">Paid leave provision</t>
  </si>
  <si>
    <t xml:space="preserve">Local business taxes accrued</t>
  </si>
  <si>
    <t xml:space="preserve">Provision: onerous cloud commitment (IAS 37)</t>
  </si>
  <si>
    <t xml:space="preserve">Corporate income tax payable</t>
  </si>
  <si>
    <t xml:space="preserve">TOTAL LIABILITIES</t>
  </si>
  <si>
    <t xml:space="preserve">EQUITY</t>
  </si>
  <si>
    <t xml:space="preserve">Share capital</t>
  </si>
  <si>
    <t xml:space="preserve">Share premium</t>
  </si>
  <si>
    <t xml:space="preserve">Accumulated losses: opening (memo)</t>
  </si>
  <si>
    <t xml:space="preserve">Net profit / (loss) (memo)</t>
  </si>
  <si>
    <t xml:space="preserve">Accumulated losses</t>
  </si>
  <si>
    <t xml:space="preserve">TOTAL EQUITY</t>
  </si>
  <si>
    <t xml:space="preserve">TOTAL LIABILITIES AND EQUITY</t>
  </si>
  <si>
    <t xml:space="preserve">CHECK: assets less liabilities and equity (must be zero)</t>
  </si>
  <si>
    <t xml:space="preserve">MEMO</t>
  </si>
  <si>
    <t xml:space="preserve">Contract liabilities, total (Enterprise and Developer)</t>
  </si>
  <si>
    <t xml:space="preserve">Cash in months of revenue</t>
  </si>
  <si>
    <t xml:space="preserve">CASH FLOW STATEMENT</t>
  </si>
  <si>
    <t xml:space="preserve">Indirect method from the P&amp;L and balance sheet movements, reconciled every month to a direct build of the cash lines in each schedule. Interest received on deposits sits in operating activities.</t>
  </si>
  <si>
    <t xml:space="preserve">OPERATING ACTIVITIES (indirect)</t>
  </si>
  <si>
    <t xml:space="preserve">Net profit / (loss)</t>
  </si>
  <si>
    <t xml:space="preserve">Add back: depreciation</t>
  </si>
  <si>
    <t xml:space="preserve">(Increase) / decrease in the card processor balance</t>
  </si>
  <si>
    <t xml:space="preserve">BS movement</t>
  </si>
  <si>
    <t xml:space="preserve">(Increase) / decrease in Enterprise receivables</t>
  </si>
  <si>
    <t xml:space="preserve">(Increase) / decrease in contract assets</t>
  </si>
  <si>
    <t xml:space="preserve">(Increase) / decrease in the research tax credit receivable (accrued less refunded)</t>
  </si>
  <si>
    <t xml:space="preserve">(Increase) / decrease in prepaid rent, prepayments and VAT to deduct</t>
  </si>
  <si>
    <t xml:space="preserve">Increase / (decrease) in trade payables</t>
  </si>
  <si>
    <t xml:space="preserve">Increase / (decrease) in contract liabilities and the refund liability</t>
  </si>
  <si>
    <t xml:space="preserve">Increase / (decrease) in payroll liabilities (URSSAF, withholding, Agirc-Arrco, commissions, paid leave)</t>
  </si>
  <si>
    <t xml:space="preserve">Increase / (decrease) in VAT, local taxes and corporate tax payable</t>
  </si>
  <si>
    <t xml:space="preserve">Increase / (decrease) in the onerous commitment provision</t>
  </si>
  <si>
    <t xml:space="preserve">NET CASH FROM OPERATING ACTIVITIES</t>
  </si>
  <si>
    <t xml:space="preserve">INVESTING ACTIVITIES</t>
  </si>
  <si>
    <t xml:space="preserve">Capital expenditure (IT equipment)</t>
  </si>
  <si>
    <t xml:space="preserve">NET CASH FROM INVESTING ACTIVITIES</t>
  </si>
  <si>
    <t xml:space="preserve">FINANCING ACTIVITIES</t>
  </si>
  <si>
    <t xml:space="preserve">NET CASH FROM FINANCING ACTIVITIES (no debt; no equity raised in the forecast)</t>
  </si>
  <si>
    <t xml:space="preserve">CASH</t>
  </si>
  <si>
    <t xml:space="preserve">NET CASH FLOW FOR THE MONTH</t>
  </si>
  <si>
    <t xml:space="preserve">Opening cash</t>
  </si>
  <si>
    <t xml:space="preserve">CLOSING CASH (to balance sheet)</t>
  </si>
  <si>
    <t xml:space="preserve">Net burn: cash used before financing (negative = cash generated)</t>
  </si>
  <si>
    <t xml:space="preserve">memo</t>
  </si>
  <si>
    <t xml:space="preserve">DIRECT METHOD (built from the cash lines of each schedule)</t>
  </si>
  <si>
    <t xml:space="preserve">Card payouts (Developer packs and Team plans)</t>
  </si>
  <si>
    <t xml:space="preserve">schedule cash line</t>
  </si>
  <si>
    <t xml:space="preserve">Enterprise receipts: accounts in France</t>
  </si>
  <si>
    <t xml:space="preserve">Enterprise receipts: accounts outside France</t>
  </si>
  <si>
    <t xml:space="preserve">Research tax credit refunded</t>
  </si>
  <si>
    <t xml:space="preserve">Interest received</t>
  </si>
  <si>
    <t xml:space="preserve">Net pay (last working day)</t>
  </si>
  <si>
    <t xml:space="preserve">URSSAF (5th)</t>
  </si>
  <si>
    <t xml:space="preserve">Income tax withheld at source (5th)</t>
  </si>
  <si>
    <t xml:space="preserve">Agirc-Arrco and schemes (25th)</t>
  </si>
  <si>
    <t xml:space="preserve">Compute suppliers in USD (15th)</t>
  </si>
  <si>
    <t xml:space="preserve">Model API vendor C (15th)</t>
  </si>
  <si>
    <t xml:space="preserve">Company card statements (5th)</t>
  </si>
  <si>
    <t xml:space="preserve">French suppliers incl. VAT and equipment (30 days)</t>
  </si>
  <si>
    <t xml:space="preserve">Rent (quarterly in advance)</t>
  </si>
  <si>
    <t xml:space="preserve">VAT (CA3)</t>
  </si>
  <si>
    <t xml:space="preserve">Local business taxes</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</si>
  <si>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</si>
  <si>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</si>
  <si>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</si>
  <si>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 and for cost lines shown as negatives.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</si>
  <si>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</si>
  <si>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</si>
  <si>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</si>
  <si>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</si>
  <si>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</si>
  <si>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</si>
  <si>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</si>
  <si>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Developer revenue</t>
  </si>
  <si>
    <t xml:space="preserve">Team revenue</t>
  </si>
  <si>
    <t xml:space="preserve">Enterprise revenue</t>
  </si>
  <si>
    <t xml:space="preserve">Model API vendor B</t>
  </si>
  <si>
    <t xml:space="preserve">Model API vendor C</t>
  </si>
  <si>
    <t xml:space="preserve">Unused committed cloud spend</t>
  </si>
  <si>
    <t xml:space="preserve">Solutions, support and success payroll</t>
  </si>
  <si>
    <t xml:space="preserve">Research compute</t>
  </si>
  <si>
    <t xml:space="preserve">Office rent</t>
  </si>
  <si>
    <t xml:space="preserve">Legal, audit and accounting</t>
  </si>
  <si>
    <t xml:space="preserve">Research tax credit (CIR)</t>
  </si>
  <si>
    <t xml:space="preserve">Exchange differences</t>
  </si>
  <si>
    <t xml:space="preserve">DRIVERS AND BALANCES (YTD columns: at the last actual month or year to date; FY columns: at Dec-26 or full year)</t>
  </si>
  <si>
    <t xml:space="preserve">Developer credit packs purchased</t>
  </si>
  <si>
    <t xml:space="preserve">Units used: Document AI (thousands)</t>
  </si>
  <si>
    <t xml:space="preserve">Units used: Voice AI (thousands)</t>
  </si>
  <si>
    <t xml:space="preserve">Units used: Agent workspace (thousands)</t>
  </si>
  <si>
    <t xml:space="preserve">Inference GPU hours</t>
  </si>
  <si>
    <t xml:space="preserve">REVENUE VARIANCE BY CAUSE (volume, price and account; reconciles to the revenue variance)</t>
  </si>
  <si>
    <t xml:space="preserve">Cause</t>
  </si>
  <si>
    <t xml:space="preserve">YTD variance</t>
  </si>
  <si>
    <t xml:space="preserve">Revenue effect YTD</t>
  </si>
  <si>
    <t xml:space="preserve">FY26 variance</t>
  </si>
  <si>
    <t xml:space="preserve">Revenue effect FY26</t>
  </si>
  <si>
    <t xml:space="preserve">Developer: credits used (volume, grossed up for breakage)</t>
  </si>
  <si>
    <t xml:space="preserve">Developer: true-ups when packs expire</t>
  </si>
  <si>
    <t xml:space="preserve">Team: customer numbers (at the budget fee)</t>
  </si>
  <si>
    <t xml:space="preserve">Team: plan fee per customer</t>
  </si>
  <si>
    <t xml:space="preserve">Enterprise: Pravenza Retail not renewed in March</t>
  </si>
  <si>
    <t xml:space="preserve">Enterprise: new accounts (won and pipeline against the four budgeted)</t>
  </si>
  <si>
    <t xml:space="preserve">Enterprise: existing accounts (usage, commitments and unused commitments)</t>
  </si>
  <si>
    <t xml:space="preserve">TOTAL REVENUE VARIANCE</t>
  </si>
  <si>
    <t xml:space="preserve">Check: causes less the P&amp;L revenue variance (must be zero)</t>
  </si>
  <si>
    <t xml:space="preserve">Developer revenue = credits used / (1 - breakage) + true-ups, so the volume effect is the difference in credits used grossed up. Team: customer numbers at the budget fee plus the actual customers at the difference in fee. Enterprise by account group. The causes add up exactly to the revenue variance.</t>
  </si>
  <si>
    <t xml:space="preserve">EBITDA WALK, YTD (budget to actual)</t>
  </si>
  <si>
    <t xml:space="preserve">Budget EBITDA YTD</t>
  </si>
  <si>
    <t xml:space="preserve">GPUs: reserved and on-demand</t>
  </si>
  <si>
    <t xml:space="preserve">Model APIs (vendors B and C)</t>
  </si>
  <si>
    <t xml:space="preserve">Research and development payroll and compute</t>
  </si>
  <si>
    <t xml:space="preserve">Marketing programmes (media, events)</t>
  </si>
  <si>
    <t xml:space="preserve">Other overheads (tools, rent, advisers, insurance, recruitment, travel, local taxes)</t>
  </si>
  <si>
    <t xml:space="preserve">Research tax credit</t>
  </si>
  <si>
    <t xml:space="preserve">Actual EBITDA YTD</t>
  </si>
  <si>
    <t xml:space="preserve">Check: budget + variances - actual (must be zero)</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</si>
  <si>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</si>
  <si>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</si>
  <si>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</si>
  <si>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23-Sep-2026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</si>
  <si>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</si>
  <si>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</si>
  <si>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</si>
  <si>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</si>
  <si>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</si>
  <si>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</si>
  <si>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</si>
  <si>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</si>
  <si>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revenue (outlook)</t>
  </si>
  <si>
    <t xml:space="preserve">EUR</t>
  </si>
  <si>
    <t xml:space="preserve">FY2027 revenue</t>
  </si>
  <si>
    <t xml:space="preserve">FY2027 revenue growth</t>
  </si>
  <si>
    <t xml:space="preserve">%</t>
  </si>
  <si>
    <t xml:space="preserve">FY2026 gross margin %</t>
  </si>
  <si>
    <t xml:space="preserve">FY2027 gross margin %</t>
  </si>
  <si>
    <t xml:space="preserve">FY2027 compute in cost of revenue, % of revenue</t>
  </si>
  <si>
    <t xml:space="preserve">FY2026 EBITDA</t>
  </si>
  <si>
    <t xml:space="preserve">FY2027 EBITDA</t>
  </si>
  <si>
    <t xml:space="preserve">FY2027 EBITDA before the research tax credit</t>
  </si>
  <si>
    <t xml:space="preserve">FY2027 net profit / (loss)</t>
  </si>
  <si>
    <t xml:space="preserve">Provider A 2026 commitment: shortfall (USD)</t>
  </si>
  <si>
    <t xml:space="preserve">Provider A 2027 commitment: shortfall (USD)</t>
  </si>
  <si>
    <t xml:space="preserve">FY2027 on-demand GPU hours</t>
  </si>
  <si>
    <t xml:space="preserve">Cash at 31-Dec-26</t>
  </si>
  <si>
    <t xml:space="preserve">Cash at 31-Dec-27</t>
  </si>
  <si>
    <t xml:space="preserve">Lowest month-end cash, Sep-26 to Dec-27</t>
  </si>
  <si>
    <t xml:space="preserve">Month of the lowest cash</t>
  </si>
  <si>
    <t xml:space="preserve">month</t>
  </si>
  <si>
    <t xml:space="preserve">Headroom at the lowest point over the board buffer (negative = below)</t>
  </si>
  <si>
    <t xml:space="preserve">Research tax credit receivable at Dec-27</t>
  </si>
  <si>
    <t xml:space="preserve">FY2027 net burn</t>
  </si>
  <si>
    <t xml:space="preserve">Headcount at Dec-27</t>
  </si>
  <si>
    <t xml:space="preserve">number</t>
  </si>
  <si>
    <t xml:space="preserve">Total of check column (must be zero)</t>
  </si>
  <si>
    <t xml:space="preserve">KEY DRIVERS BY SCENARIO (live links to Assumptions)</t>
  </si>
  <si>
    <t xml:space="preserve">Renewal and win probabilities by account and scenario are on the Account_Register. To refresh the snapshots: set the scenario selector on Assumptions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</si>
  <si>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</si>
  <si>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</si>
  <si>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</si>
  <si>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</si>
  <si>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</si>
  <si>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</si>
  <si>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</si>
  <si>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</si>
  <si>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</si>
  <si>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</si>
  <si>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</si>
  <si>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</si>
  <si>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</si>
  <si>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</si>
  <si>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</si>
  <si>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</si>
  <si>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</si>
  <si>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</si>
  <si>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</si>
  <si>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</si>
  <si>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</si>
  <si>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</si>
  <si>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</si>
  <si>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</si>
  <si>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</si>
  <si>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</si>
  <si>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</si>
  <si>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</si>
  <si>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</si>
  <si>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</si>
  <si>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</si>
  <si>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</si>
  <si>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</si>
  <si>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10th (direct debit) of Sep-26 falls in the week (1/0), after the opening date only</t>
  </si>
  <si>
    <t xml:space="preserve">10th (direct debit) of Oct-26 falls in the week (1/0), after the opening date only</t>
  </si>
  <si>
    <t xml:space="preserve">10th (direct debit) of Nov-26 falls in the week (1/0), after the opening date only</t>
  </si>
  <si>
    <t xml:space="preserve">10th (direct debit) of Dec-26 falls in the week (1/0), after the opening date only</t>
  </si>
  <si>
    <t xml:space="preserve">15th (tax day) of Sep-26 falls in the week (1/0), after the opening date only</t>
  </si>
  <si>
    <t xml:space="preserve">15th (tax day) of Oct-26 falls in the week (1/0), after the opening date only</t>
  </si>
  <si>
    <t xml:space="preserve">15th (tax day) of Nov-26 falls in the week (1/0), after the opening date only</t>
  </si>
  <si>
    <t xml:space="preserve">15th (tax day) of Dec-26 falls in the week (1/0), after the opening date only</t>
  </si>
  <si>
    <t xml:space="preserve">25th (payment run) of Sep-26 falls in the week (1/0), after the opening date only</t>
  </si>
  <si>
    <t xml:space="preserve">25th (payment run) of Oct-26 falls in the week (1/0), after the opening date only</t>
  </si>
  <si>
    <t xml:space="preserve">25th (payment run) of Nov-26 falls in the week (1/0), after the opening date only</t>
  </si>
  <si>
    <t xml:space="preserve">25th (payment run) of Dec-26 falls in the week (1/0), after the opening date only</t>
  </si>
  <si>
    <t xml:space="preserve">month end of Sep-26 falls in the week (1/0), after the opening date only</t>
  </si>
  <si>
    <t xml:space="preserve">month end of Oct-26 falls in the week (1/0), after the opening date only</t>
  </si>
  <si>
    <t xml:space="preserve">month end of Nov-26 falls in the week (1/0), after the opening date only</t>
  </si>
  <si>
    <t xml:space="preserve">month end of Dec-26 falls in the week (1/0), after the opening date only</t>
  </si>
  <si>
    <t xml:space="preserve">last working day of Sep-26 falls in the week (1/0), after the opening date only</t>
  </si>
  <si>
    <t xml:space="preserve">last working day of Oct-26 falls in the week (1/0), after the opening date only</t>
  </si>
  <si>
    <t xml:space="preserve">last working day of Nov-26 falls in the week (1/0), after the opening date only</t>
  </si>
  <si>
    <t xml:space="preserve">last working day of Dec-26 falls in the week (1/0), after the opening date only</t>
  </si>
  <si>
    <t xml:space="preserve">5th (DSN date, next working day) of Sep-26 falls in the week (1/0), after the opening date only</t>
  </si>
  <si>
    <t xml:space="preserve">5th (DSN date, next working day) of Oct-26 falls in the week (1/0), after the opening date only</t>
  </si>
  <si>
    <t xml:space="preserve">5th (DSN date, next working day) of Nov-26 falls in the week (1/0), after the opening date only</t>
  </si>
  <si>
    <t xml:space="preserve">5th (DSN date, next working day) of Dec-26 falls in the week (1/0), after the opening date only</t>
  </si>
  <si>
    <t xml:space="preserve">25th (effective by) of Sep-26 falls in the week (1/0), after the opening date only</t>
  </si>
  <si>
    <t xml:space="preserve">25th (effective by) of Oct-26 falls in the week (1/0), after the opening date only</t>
  </si>
  <si>
    <t xml:space="preserve">25th (effective by) of Nov-26 falls in the week (1/0), after the opening date only</t>
  </si>
  <si>
    <t xml:space="preserve">25th (effective by) of Dec-26 falls in the week (1/0), after the opening date only</t>
  </si>
  <si>
    <t xml:space="preserve">15th (wire, next working day) of Sep-26 falls in the week (1/0), after the opening date only</t>
  </si>
  <si>
    <t xml:space="preserve">15th (wire, next working day) of Oct-26 falls in the week (1/0), after the opening date only</t>
  </si>
  <si>
    <t xml:space="preserve">15th (wire, next working day) of Nov-26 falls in the week (1/0), after the opening date only</t>
  </si>
  <si>
    <t xml:space="preserve">15th (wire, next working day) of Dec-26 falls in the week (1/0), after the opening date only</t>
  </si>
  <si>
    <t xml:space="preserve">card statement (5th) of Sep-26 falls in the week (1/0), after the opening date only</t>
  </si>
  <si>
    <t xml:space="preserve">card statement (5th) of Oct-26 falls in the week (1/0), after the opening date only</t>
  </si>
  <si>
    <t xml:space="preserve">card statement (5th) of Nov-26 falls in the week (1/0), after the opening date only</t>
  </si>
  <si>
    <t xml:space="preserve">card statement (5th) of Dec-26 falls in the week (1/0), after the opening date only</t>
  </si>
  <si>
    <t xml:space="preserve">19th (CA3, next working day) of Sep-26 falls in the week (1/0), after the opening date only</t>
  </si>
  <si>
    <t xml:space="preserve">19th (CA3, next working day) of Oct-26 falls in the week (1/0), after the opening date only</t>
  </si>
  <si>
    <t xml:space="preserve">19th (CA3, next working day) of Nov-26 falls in the week (1/0), after the opening date only</t>
  </si>
  <si>
    <t xml:space="preserve">19th (CA3, next working day) of Dec-26 falls in the week (1/0), after the opening date only</t>
  </si>
  <si>
    <t xml:space="preserve">first working day of Sep-26 falls in the week (1/0), after the opening date only</t>
  </si>
  <si>
    <t xml:space="preserve">first working day of Oct-26 falls in the week (1/0), after the opening date only</t>
  </si>
  <si>
    <t xml:space="preserve">first working day of Nov-26 falls in the week (1/0), after the opening date only</t>
  </si>
  <si>
    <t xml:space="preserve">first working day of Dec-26 falls in the week (1/0), after the opening date only</t>
  </si>
  <si>
    <t xml:space="preserve">RECEIPTS</t>
  </si>
  <si>
    <t xml:space="preserve">Card payouts: Developer packs and Team plans (daily, net of fees)</t>
  </si>
  <si>
    <t xml:space="preserve">calendar days</t>
  </si>
  <si>
    <t xml:space="preserve">Enterprise receipts (month-end payment runs of the accounts)</t>
  </si>
  <si>
    <t xml:space="preserve">25th (payment run)</t>
  </si>
  <si>
    <t xml:space="preserve">Interest on term deposits (month end)</t>
  </si>
  <si>
    <t xml:space="preserve">month end</t>
  </si>
  <si>
    <t xml:space="preserve">TOTAL RECEIPTS</t>
  </si>
  <si>
    <t xml:space="preserve">n/a</t>
  </si>
  <si>
    <t xml:space="preserve">PAYMENTS</t>
  </si>
  <si>
    <t xml:space="preserve">Net pay: salaries and commissions (last working day)</t>
  </si>
  <si>
    <t xml:space="preserve">last working day</t>
  </si>
  <si>
    <t xml:space="preserve">URSSAF for the prior month (DSN date, the 5th)</t>
  </si>
  <si>
    <t xml:space="preserve">5th (DSN date, next working day)</t>
  </si>
  <si>
    <t xml:space="preserve">Income tax withheld at source for the prior month (the 5th)</t>
  </si>
  <si>
    <t xml:space="preserve">Agirc-Arrco and schemes for the prior month (effective by the 25th)</t>
  </si>
  <si>
    <t xml:space="preserve">25th (effective by)</t>
  </si>
  <si>
    <t xml:space="preserve">Compute suppliers in USD: Provider A and vendor B (wire on the 15th)</t>
  </si>
  <si>
    <t xml:space="preserve">15th (wire, next working day)</t>
  </si>
  <si>
    <t xml:space="preserve">Company card statements: software, media, travel (5th)</t>
  </si>
  <si>
    <t xml:space="preserve">card statement (5th)</t>
  </si>
  <si>
    <t xml:space="preserve">Rent for the quarter, in advance (first working day)</t>
  </si>
  <si>
    <t xml:space="preserve">first working day</t>
  </si>
  <si>
    <t xml:space="preserve">Insurance (direct debit)</t>
  </si>
  <si>
    <t xml:space="preserve">10th (direct debit)</t>
  </si>
  <si>
    <t xml:space="preserve">VAT return, CA3 (the 19th)</t>
  </si>
  <si>
    <t xml:space="preserve">19th (CA3, next working day)</t>
  </si>
  <si>
    <t xml:space="preserve">Local business taxes: CVAE instalment (15 Sep), CFE (15 Dec)</t>
  </si>
  <si>
    <t xml:space="preserve">15th (tax day)</t>
  </si>
  <si>
    <t xml:space="preserve">TOTAL PAYMENTS</t>
  </si>
  <si>
    <t xml:space="preserve">NET CASH FLOW FOR THE WEEK</t>
  </si>
  <si>
    <t xml:space="preserve">ledger + actual to date</t>
  </si>
  <si>
    <t xml:space="preserve">CLOSING CASH</t>
  </si>
  <si>
    <t xml:space="preserve">CASH CONTROL</t>
  </si>
  <si>
    <t xml:space="preserve">HEADROOM / (SHORTFALL) VS BUFFER</t>
  </si>
  <si>
    <t xml:space="preserve">Low point in the 13 weeks</t>
  </si>
  <si>
    <t xml:space="preserve">Week ending of the low point</t>
  </si>
  <si>
    <t xml:space="preserve">Headroom at the low point (negative = action needed)</t>
  </si>
  <si>
    <t xml:space="preserve">Undrawn overdraft facility</t>
  </si>
  <si>
    <t xml:space="preserve">Facility headroom after covering any shortfall</t>
  </si>
  <si>
    <t xml:space="preserve">Social contributions and taxes paid in the window</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</si>
  <si>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</si>
  <si>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</si>
  <si>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</si>
  <si>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</si>
  <si>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</si>
  <si>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</si>
  <si>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</si>
  <si>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REVENUE BY SEGMENT AND PRODUCT, UNITS, REALISED PRICE PER UNIT AND REVENUE VISIBILITY</t>
  </si>
  <si>
    <t xml:space="preserve">Consolidates Credits, Team and Enterprise. Product revenue follows the usage mix of each segment and of each Enterprise account. Realised price = revenue / units: it includes breakage and unused commitments and is net of Enterprise discounts.</t>
  </si>
  <si>
    <t xml:space="preserve">REVENUE BY SEGMENT (IFRS 15)</t>
  </si>
  <si>
    <t xml:space="preserve">Developer: credits used, breakage and true-ups</t>
  </si>
  <si>
    <t xml:space="preserve">History for 2025</t>
  </si>
  <si>
    <t xml:space="preserve">REVENUE BY PRODUCT</t>
  </si>
  <si>
    <t xml:space="preserve">Document AI</t>
  </si>
  <si>
    <t xml:space="preserve">usage mix by segment and account</t>
  </si>
  <si>
    <t xml:space="preserve">Voice AI</t>
  </si>
  <si>
    <t xml:space="preserve">Agent workspace</t>
  </si>
  <si>
    <t xml:space="preserve">Check: products less total revenue (must be zero)</t>
  </si>
  <si>
    <t xml:space="preserve">UNITS USED (thousands)</t>
  </si>
  <si>
    <t xml:space="preserve">Document AI (thousands of pages)</t>
  </si>
  <si>
    <t xml:space="preserve">Credits + Team + Enterprise</t>
  </si>
  <si>
    <t xml:space="preserve">Voice AI (thousands of audio minutes)</t>
  </si>
  <si>
    <t xml:space="preserve">Agent workspace (thousands of agent actions)</t>
  </si>
  <si>
    <t xml:space="preserve">REALISED PRICE AND LIST PRICE (EUR per 1,000 units)</t>
  </si>
  <si>
    <t xml:space="preserve">Realised: Document AI</t>
  </si>
  <si>
    <t xml:space="preserve">revenue / units</t>
  </si>
  <si>
    <t xml:space="preserve">Realised: Voice AI</t>
  </si>
  <si>
    <t xml:space="preserve">Realised: Agent workspace</t>
  </si>
  <si>
    <t xml:space="preserve">List: Document AI</t>
  </si>
  <si>
    <t xml:space="preserve">List: Voice AI</t>
  </si>
  <si>
    <t xml:space="preserve">List: Agent workspace</t>
  </si>
  <si>
    <t xml:space="preserve">VISIBILITY (share of revenue)</t>
  </si>
  <si>
    <t xml:space="preserve">Pure usage: Developer credits, Team usage above the allowance, Enterprise usage above commitments</t>
  </si>
  <si>
    <t xml:space="preserve">Committed: Team plan fees and Enterprise commitments</t>
  </si>
  <si>
    <t xml:space="preserve">DEVELOPER CREDITS: PACKS SOLD, CREDITS USED, BREAKAGE AND THE CONTRACT LIABILITY (IFRS 15.B44 TO B47)</t>
  </si>
  <si>
    <t xml:space="preserve">Packs are paid by card and held as a contract liability. Revenue = credits used x 1 / (1 - expected breakage), so breakage is recognised in proportion to use (IFRS 15.B46); when a pack expires after 12 months the difference to the actual unused credits is trued up. A: credit ledger; F: usage curve on Assumptions.</t>
  </si>
  <si>
    <t xml:space="preserve">PACKS PURCHASED (EUR ex VAT)</t>
  </si>
  <si>
    <t xml:space="preserve">Credit packs purchased</t>
  </si>
  <si>
    <t xml:space="preserve">A: billing system; F: run-rate x growth x seasonality</t>
  </si>
  <si>
    <t xml:space="preserve">CREDITS USED BY PACK (EUR face value; A: credit ledger; F: usage curve x pack)</t>
  </si>
  <si>
    <t xml:space="preserve">Packs bought in Jan-25</t>
  </si>
  <si>
    <t xml:space="preserve">Packs bought in Feb-25</t>
  </si>
  <si>
    <t xml:space="preserve">Packs bought in Mar-25</t>
  </si>
  <si>
    <t xml:space="preserve">Packs bought in Apr-25</t>
  </si>
  <si>
    <t xml:space="preserve">Packs bought in May-25</t>
  </si>
  <si>
    <t xml:space="preserve">Packs bought in Jun-25</t>
  </si>
  <si>
    <t xml:space="preserve">Packs bought in Jul-25</t>
  </si>
  <si>
    <t xml:space="preserve">Packs bought in Aug-25</t>
  </si>
  <si>
    <t xml:space="preserve">Packs bought in Sep-25</t>
  </si>
  <si>
    <t xml:space="preserve">Packs bought in Oct-25</t>
  </si>
  <si>
    <t xml:space="preserve">Packs bought in Nov-25</t>
  </si>
  <si>
    <t xml:space="preserve">Packs bought in Dec-25</t>
  </si>
  <si>
    <t xml:space="preserve">Packs bought in Jan-26</t>
  </si>
  <si>
    <t xml:space="preserve">Packs bought in Feb-26</t>
  </si>
  <si>
    <t xml:space="preserve">Packs bought in Mar-26</t>
  </si>
  <si>
    <t xml:space="preserve">Packs bought in Apr-26</t>
  </si>
  <si>
    <t xml:space="preserve">Packs bought in May-26</t>
  </si>
  <si>
    <t xml:space="preserve">Packs bought in Jun-26</t>
  </si>
  <si>
    <t xml:space="preserve">Packs bought in Jul-26</t>
  </si>
  <si>
    <t xml:space="preserve">Packs bought in Aug-26</t>
  </si>
  <si>
    <t xml:space="preserve">Packs bought in Sep-26</t>
  </si>
  <si>
    <t xml:space="preserve">Packs bought in Oct-26</t>
  </si>
  <si>
    <t xml:space="preserve">Packs bought in Nov-26</t>
  </si>
  <si>
    <t xml:space="preserve">Packs bought in Dec-26</t>
  </si>
  <si>
    <t xml:space="preserve">Packs bought in Jan-27</t>
  </si>
  <si>
    <t xml:space="preserve">Packs bought in Feb-27</t>
  </si>
  <si>
    <t xml:space="preserve">Packs bought in Mar-27</t>
  </si>
  <si>
    <t xml:space="preserve">Packs bought in Apr-27</t>
  </si>
  <si>
    <t xml:space="preserve">Packs bought in May-27</t>
  </si>
  <si>
    <t xml:space="preserve">Packs bought in Jun-27</t>
  </si>
  <si>
    <t xml:space="preserve">Packs bought in Jul-27</t>
  </si>
  <si>
    <t xml:space="preserve">Packs bought in Aug-27</t>
  </si>
  <si>
    <t xml:space="preserve">Packs bought in Sep-27</t>
  </si>
  <si>
    <t xml:space="preserve">Packs bought in Oct-27</t>
  </si>
  <si>
    <t xml:space="preserve">Packs bought in Nov-27</t>
  </si>
  <si>
    <t xml:space="preserve">Packs bought in Dec-27</t>
  </si>
  <si>
    <t xml:space="preserve">CREDITS USED</t>
  </si>
  <si>
    <t xml:space="preserve">REVENUE AND BREAKAGE</t>
  </si>
  <si>
    <t xml:space="preserve">Credits used, grossed up for expected breakage</t>
  </si>
  <si>
    <t xml:space="preserve">used / (1 - breakage)</t>
  </si>
  <si>
    <t xml:space="preserve">True-up when a pack expires (actual unused credits less expected breakage)</t>
  </si>
  <si>
    <t xml:space="preserve">pack bought 12 months earlier</t>
  </si>
  <si>
    <t xml:space="preserve">DEVELOPER REVENUE</t>
  </si>
  <si>
    <t xml:space="preserve">of which breakage recognised</t>
  </si>
  <si>
    <t xml:space="preserve">used x breakage / (1 - breakage) + true-up</t>
  </si>
  <si>
    <t xml:space="preserve">Credits expired unused (face value, pack bought 12 months earlier)</t>
  </si>
  <si>
    <t xml:space="preserve">Share of that pack expired unused</t>
  </si>
  <si>
    <t xml:space="preserve">CONTRACT LIABILITY: DEVELOPER CREDITS</t>
  </si>
  <si>
    <t xml:space="preserve">opening + packs - revenue</t>
  </si>
  <si>
    <t xml:space="preserve">Per pack schedule: packs live less credits used grossed up</t>
  </si>
  <si>
    <t xml:space="preserve">independent calculation</t>
  </si>
  <si>
    <t xml:space="preserve">Check: roll-forward less schedule (must be zero)</t>
  </si>
  <si>
    <t xml:space="preserve">Credits outstanding at face value (memo)</t>
  </si>
  <si>
    <t xml:space="preserve">packs live less credits used</t>
  </si>
  <si>
    <t xml:space="preserve">CARD SALES, VAT AND USAGE</t>
  </si>
  <si>
    <t xml:space="preserve">Card charges incl. VAT</t>
  </si>
  <si>
    <t xml:space="preserve">packs x (1 + 20% x share in France)</t>
  </si>
  <si>
    <t xml:space="preserve">Card charges (number of packs)</t>
  </si>
  <si>
    <t xml:space="preserve">packs / average pack</t>
  </si>
  <si>
    <t xml:space="preserve">Output VAT (customers in France, due on payment)</t>
  </si>
  <si>
    <t xml:space="preserve">Sales to EU businesses (reverse charge, DES)</t>
  </si>
  <si>
    <t xml:space="preserve">A: metering; F: credits used x mix / list price</t>
  </si>
  <si>
    <t xml:space="preserve">TEAM PLANS: CUSTOMERS, PLAN FEES AND USAGE ABOVE THE ALLOWANCE (HYBRID PRICING)</t>
  </si>
  <si>
    <t xml:space="preserve">Each customer pays a monthly plan fee by card that includes an allowance of usage; usage above the allowance is charged at list prices at the month end. Revenue = plan fee + usage above the allowance, both earned in the month. A: billing system; F: run-rates on Assumptions.</t>
  </si>
  <si>
    <t xml:space="preserve">Customers at the start of the month</t>
  </si>
  <si>
    <t xml:space="preserve">New customers</t>
  </si>
  <si>
    <t xml:space="preserve">A: billing; F: run-rate x seasonality x factor</t>
  </si>
  <si>
    <t xml:space="preserve">Customers lost</t>
  </si>
  <si>
    <t xml:space="preserve">A: billing; F: opening x rate x factor</t>
  </si>
  <si>
    <t xml:space="preserve">CUSTOMERS AT MONTH END</t>
  </si>
  <si>
    <t xml:space="preserve">Customers lost a month, share of opening</t>
  </si>
  <si>
    <t xml:space="preserve">Check: billing system less the bridge (actual months)</t>
  </si>
  <si>
    <t xml:space="preserve">Plan fee per customer a month</t>
  </si>
  <si>
    <t xml:space="preserve">A: fees / customers; F: prior x (1 + growth)</t>
  </si>
  <si>
    <t xml:space="preserve">PLAN FEES</t>
  </si>
  <si>
    <t xml:space="preserve">A: billing; F: customers x fee</t>
  </si>
  <si>
    <t xml:space="preserve">USAGE ABOVE THE ALLOWANCE</t>
  </si>
  <si>
    <t xml:space="preserve">A: billing; F: plan fees x driver</t>
  </si>
  <si>
    <t xml:space="preserve">Usage above the allowance, share of plan fees</t>
  </si>
  <si>
    <t xml:space="preserve">TEAM REVENUE</t>
  </si>
  <si>
    <t xml:space="preserve">Allowance used (at list prices)</t>
  </si>
  <si>
    <t xml:space="preserve">plan fees x share used</t>
  </si>
  <si>
    <t xml:space="preserve">revenue x (1 + 20% x share in France)</t>
  </si>
  <si>
    <t xml:space="preserve">A: metering; F: (allowance used + usage above) x mix / list</t>
  </si>
  <si>
    <t xml:space="preserve">ENTERPRISE: USAGE, COMMITMENTS, BILLING AND CONTRACT BALANCES BY ACCOUNT (EXPECTED VALUES IN THE FORECAST)</t>
  </si>
  <si>
    <t xml:space="preserve">Revenue = usage at contracted prices as it happens; a commitment not used by the end of the contract year is recognised then (the customer loses the right: IFRS 15.B46, recognised when remote). Commitments are billed quarterly in advance and usage above the commitment monthly, so each account carries a contract liability (billed ahead) or a contract asset (used ahead). F: renewals at the probability on the Account_Register; pipeline deals at their win probability.</t>
  </si>
  <si>
    <t xml:space="preserve">USAGE BY ACCOUNT (EUR at contracted prices)</t>
  </si>
  <si>
    <t xml:space="preserve">E01 Tervane Assurances</t>
  </si>
  <si>
    <t xml:space="preserve">A: metering; F: growth, renewal at probability</t>
  </si>
  <si>
    <t xml:space="preserve">E02 Draxholm Logistik</t>
  </si>
  <si>
    <t xml:space="preserve">E03 Lunedo Banca</t>
  </si>
  <si>
    <t xml:space="preserve">E04 Kellbrook Utilities</t>
  </si>
  <si>
    <t xml:space="preserve">E05 Ambrelle Sante</t>
  </si>
  <si>
    <t xml:space="preserve">E06 Veskari Telecom</t>
  </si>
  <si>
    <t xml:space="preserve">E07 Oisterra Energia</t>
  </si>
  <si>
    <t xml:space="preserve">E08 Pravenza Retail</t>
  </si>
  <si>
    <t xml:space="preserve">E09 Solberre Mutuelle</t>
  </si>
  <si>
    <t xml:space="preserve">E10 Ivarone Insurance</t>
  </si>
  <si>
    <t xml:space="preserve">E11 Mercadel Foods</t>
  </si>
  <si>
    <t xml:space="preserve">E12 Halvesta Travel</t>
  </si>
  <si>
    <t xml:space="preserve">E13 Varnholm Freight</t>
  </si>
  <si>
    <t xml:space="preserve">E14 Brevalle Logistique</t>
  </si>
  <si>
    <t xml:space="preserve">E15 Maltessa Telecom</t>
  </si>
  <si>
    <t xml:space="preserve">P01 Grevon Assurances (pipeline)</t>
  </si>
  <si>
    <t xml:space="preserve">win probability x usage from the start</t>
  </si>
  <si>
    <t xml:space="preserve">P02 Aldebrink Logistics (pipeline)</t>
  </si>
  <si>
    <t xml:space="preserve">P03 Serranova Banca (pipeline)</t>
  </si>
  <si>
    <t xml:space="preserve">P04 Kettelby Water (pipeline)</t>
  </si>
  <si>
    <t xml:space="preserve">P05 Vanthor Energie (pipeline)</t>
  </si>
  <si>
    <t xml:space="preserve">ANNUAL COMMITMENT OF THE CONTRACT YEAR BY ACCOUNT (EUR)</t>
  </si>
  <si>
    <t xml:space="preserve">E01</t>
  </si>
  <si>
    <t xml:space="preserve">A: contracts; F: renewal at uplift x probability</t>
  </si>
  <si>
    <t xml:space="preserve">E02</t>
  </si>
  <si>
    <t xml:space="preserve">E03</t>
  </si>
  <si>
    <t xml:space="preserve">E04</t>
  </si>
  <si>
    <t xml:space="preserve">E05</t>
  </si>
  <si>
    <t xml:space="preserve">E06</t>
  </si>
  <si>
    <t xml:space="preserve">E07</t>
  </si>
  <si>
    <t xml:space="preserve">E08</t>
  </si>
  <si>
    <t xml:space="preserve">E09</t>
  </si>
  <si>
    <t xml:space="preserve">E10</t>
  </si>
  <si>
    <t xml:space="preserve">E11</t>
  </si>
  <si>
    <t xml:space="preserve">E12</t>
  </si>
  <si>
    <t xml:space="preserve">E13</t>
  </si>
  <si>
    <t xml:space="preserve">E14</t>
  </si>
  <si>
    <t xml:space="preserve">E15</t>
  </si>
  <si>
    <t xml:space="preserve">P01 (pipeline)</t>
  </si>
  <si>
    <t xml:space="preserve">P02 (pipeline)</t>
  </si>
  <si>
    <t xml:space="preserve">P03 (pipeline)</t>
  </si>
  <si>
    <t xml:space="preserve">P04 (pipeline)</t>
  </si>
  <si>
    <t xml:space="preserve">P05 (pipeline)</t>
  </si>
  <si>
    <t xml:space="preserve">USAGE IN THE CONTRACT YEAR TO DATE BY ACCOUNT (EUR)</t>
  </si>
  <si>
    <t xml:space="preserve">COMMITMENT BILLED (quarterly in advance from the contract start)</t>
  </si>
  <si>
    <t xml:space="preserve">USAGE ABOVE THE COMMITMENT BILLED (monthly in arrears)</t>
  </si>
  <si>
    <t xml:space="preserve">UNUSED COMMITMENT RECOGNISED AT THE END OF THE CONTRACT YEAR</t>
  </si>
  <si>
    <t xml:space="preserve">REVENUE BY ACCOUNT (usage + unused commitment)</t>
  </si>
  <si>
    <t xml:space="preserve">BILLING BY ACCOUNT (commitment + usage above it)</t>
  </si>
  <si>
    <t xml:space="preserve">CONTRACT POSITION BY ACCOUNT (+ billed ahead of usage: contract liability; - used ahead of billing: contract asset)</t>
  </si>
  <si>
    <t xml:space="preserve">opening + billing - revenue</t>
  </si>
  <si>
    <t xml:space="preserve">TOTALS</t>
  </si>
  <si>
    <t xml:space="preserve">Usage</t>
  </si>
  <si>
    <t xml:space="preserve">Commitment billed</t>
  </si>
  <si>
    <t xml:space="preserve">Usage above the commitment billed</t>
  </si>
  <si>
    <t xml:space="preserve">Unused commitment recognised</t>
  </si>
  <si>
    <t xml:space="preserve">CONTRACT REVENUE</t>
  </si>
  <si>
    <t xml:space="preserve">BILLING</t>
  </si>
  <si>
    <t xml:space="preserve">Invoiced incl. VAT: accounts in France</t>
  </si>
  <si>
    <t xml:space="preserve">Invoiced: accounts outside France (reverse charge in the EU, outside the scope elsewhere)</t>
  </si>
  <si>
    <t xml:space="preserve">Billing to EU businesses (reverse charge, DES)</t>
  </si>
  <si>
    <t xml:space="preserve">Contract liabilities (accounts billed ahead of usage)</t>
  </si>
  <si>
    <t xml:space="preserve">Contract assets (accounts used ahead of billing)</t>
  </si>
  <si>
    <t xml:space="preserve">Check: change in net contract position equals billing less revenue (must be zero)</t>
  </si>
  <si>
    <t xml:space="preserve">Commitments signed in the month (new and renewal, expected)</t>
  </si>
  <si>
    <t xml:space="preserve">commission base</t>
  </si>
  <si>
    <t xml:space="preserve">CREDIT NOTES AND THE DISPUTED TERVANE INVOICE (IFRS 15.55)</t>
  </si>
  <si>
    <t xml:space="preserve">A: ledger; F: released when settled</t>
  </si>
  <si>
    <t xml:space="preserve">Credit notes issued (ex VAT)</t>
  </si>
  <si>
    <t xml:space="preserve">F: share credited x invoice</t>
  </si>
  <si>
    <t xml:space="preserve">Revenue adjustment: credit notes and the change in the refund liability</t>
  </si>
  <si>
    <t xml:space="preserve">ENTERPRISE REVENUE</t>
  </si>
  <si>
    <t xml:space="preserve">contract revenue + adjustments</t>
  </si>
  <si>
    <t xml:space="preserve">UNITS AND RETENTION</t>
  </si>
  <si>
    <t xml:space="preserve">A: metering; F: usage x mix / (list x (1 - discount))</t>
  </si>
  <si>
    <t xml:space="preserve">Net revenue retention on usage: accounts live a year earlier, usage now / usage then</t>
  </si>
  <si>
    <t xml:space="preserve">trailing 12 months, History for 2025</t>
  </si>
  <si>
    <t xml:space="preserve">Accounts with a commitment</t>
  </si>
  <si>
    <t xml:space="preserve">USAGE AND COMPUTE: GPU HOURS, RESERVED CAPACITY, MODEL TOKENS, COMPUTE COST (USD AND EUR) AND PROVIDER CONCENTRATION</t>
  </si>
  <si>
    <t xml:space="preserve">GPU hours = units x GPU hours per unit (falling with model optimisation). Reserved GPUs are billed for every hour; inference above 85% of reserved hours runs on on-demand GPUs; research uses reserved hours that inference leaves. USD costs convert at the USD per EUR rate of the month. A: supplier invoices and the GPU scheduler.</t>
  </si>
  <si>
    <t xml:space="preserve">UNITS (thousands) AND GPU HOURS</t>
  </si>
  <si>
    <t xml:space="preserve">Units: Document AI</t>
  </si>
  <si>
    <t xml:space="preserve">Units: Voice AI</t>
  </si>
  <si>
    <t xml:space="preserve">Units: Agent workspace</t>
  </si>
  <si>
    <t xml:space="preserve">GPU hours per 1,000 units: Document AI</t>
  </si>
  <si>
    <t xml:space="preserve">FY2025 rate x efficiency index</t>
  </si>
  <si>
    <t xml:space="preserve">GPU hours per 1,000 units: Voice AI</t>
  </si>
  <si>
    <t xml:space="preserve">GPU hours per 1,000 units: Agent workspace</t>
  </si>
  <si>
    <t xml:space="preserve">Inference GPU hours: Document AI</t>
  </si>
  <si>
    <t xml:space="preserve">units x hours per unit</t>
  </si>
  <si>
    <t xml:space="preserve">Inference GPU hours: Voice AI</t>
  </si>
  <si>
    <t xml:space="preserve">Inference GPU hours: Agent workspace</t>
  </si>
  <si>
    <t xml:space="preserve">INFERENCE GPU HOURS</t>
  </si>
  <si>
    <t xml:space="preserve">Check: GPU scheduler less the calculation (actual months, within 1 hour)</t>
  </si>
  <si>
    <t xml:space="preserve">Reserved GPU hours (GPUs x hours in the month)</t>
  </si>
  <si>
    <t xml:space="preserve">Usable for inference</t>
  </si>
  <si>
    <t xml:space="preserve">capacity x usable share</t>
  </si>
  <si>
    <t xml:space="preserve">A: invoice; F: inference above usable capacity</t>
  </si>
  <si>
    <t xml:space="preserve">Research GPU hours</t>
  </si>
  <si>
    <t xml:space="preserve">A: scheduler; F: demand, limited to spare usable hours</t>
  </si>
  <si>
    <t xml:space="preserve">Check: on-demand hours equal inference above usable capacity (forecast months)</t>
  </si>
  <si>
    <t xml:space="preserve">Reserved capacity used (inference on reserved + research) / reserved hours</t>
  </si>
  <si>
    <t xml:space="preserve">Inference share of usable reserved hours</t>
  </si>
  <si>
    <t xml:space="preserve">MODEL TOKENS (millions)</t>
  </si>
  <si>
    <t xml:space="preserve">Vendor B (voice and agent models)</t>
  </si>
  <si>
    <t xml:space="preserve">A: usage report; F: units x tokens per unit</t>
  </si>
  <si>
    <t xml:space="preserve">Vendor C (document models)</t>
  </si>
  <si>
    <t xml:space="preserve">COSTS IN USD (Provider A and vendor B)</t>
  </si>
  <si>
    <t xml:space="preserve">Provider A: reserved GPUs</t>
  </si>
  <si>
    <t xml:space="preserve">A: invoice; F: GPUs x hours x rate</t>
  </si>
  <si>
    <t xml:space="preserve">Provider A: on-demand GPUs</t>
  </si>
  <si>
    <t xml:space="preserve">A: invoice; F: hours x on-demand rate</t>
  </si>
  <si>
    <t xml:space="preserve">Provider A: hosting, storage and network</t>
  </si>
  <si>
    <t xml:space="preserve">A: invoice; F: fixed + per unit</t>
  </si>
  <si>
    <t xml:space="preserve">PROVIDER A SPEND (counts towards the commitment)</t>
  </si>
  <si>
    <t xml:space="preserve">A: invoice; F: tokens x price</t>
  </si>
  <si>
    <t xml:space="preserve">TOTAL USD COMPUTE</t>
  </si>
  <si>
    <t xml:space="preserve">COSTS IN EUR</t>
  </si>
  <si>
    <t xml:space="preserve">USD per EUR</t>
  </si>
  <si>
    <t xml:space="preserve">Assumptions timeline</t>
  </si>
  <si>
    <t xml:space="preserve">Reserved GPUs</t>
  </si>
  <si>
    <t xml:space="preserve">USD / rate</t>
  </si>
  <si>
    <t xml:space="preserve">of which research (charged to research and development)</t>
  </si>
  <si>
    <t xml:space="preserve">reserved x research hours / reserved hours</t>
  </si>
  <si>
    <t xml:space="preserve">of which inference and idle capacity (cost of revenue)</t>
  </si>
  <si>
    <t xml:space="preserve">Model API vendor C (EUR)</t>
  </si>
  <si>
    <t xml:space="preserve">COMPUTE IN COST OF REVENUE</t>
  </si>
  <si>
    <t xml:space="preserve">inference, APIs and hosting</t>
  </si>
  <si>
    <t xml:space="preserve">TOTAL COMPUTE (incl. research)</t>
  </si>
  <si>
    <t xml:space="preserve">Compute in cost of revenue, % of revenue</t>
  </si>
  <si>
    <t xml:space="preserve">PROVIDER CONCENTRATION (share of total compute in EUR)</t>
  </si>
  <si>
    <t xml:space="preserve">Provider A (GPUs and hosting)</t>
  </si>
  <si>
    <t xml:space="preserve">Revenue that runs on vendor B models (Voice AI and Agent workspace), % of revenue</t>
  </si>
  <si>
    <t xml:space="preserve">PROVIDER A SPEND COMMITMENT: UTILISATION, EXPECTED SHORTFALL AND THE ONEROUS CONTRACT PROVISION (IAS 37)</t>
  </si>
  <si>
    <t xml:space="preserve">The calendar-year commitment is take-or-pay: spend below it is invoiced in December. The expected shortfall buys nothing, so it is provided as soon as it is expected (IAS 37.66 to 69) and released against the December invoice. A: CFO estimate at each month end; F: the model full-year spend.</t>
  </si>
  <si>
    <t xml:space="preserve">Commitment for the calendar year (USD)</t>
  </si>
  <si>
    <t xml:space="preserve">Provider A spend (USD)</t>
  </si>
  <si>
    <t xml:space="preserve">Spend in the year to date (USD)</t>
  </si>
  <si>
    <t xml:space="preserve">Spend for the full year: actual plus forecast (USD)</t>
  </si>
  <si>
    <t xml:space="preserve">Expected shortfall for the year (USD)</t>
  </si>
  <si>
    <t xml:space="preserve">commitment less full-year spend</t>
  </si>
  <si>
    <t xml:space="preserve">Utilisation: spend to date / commitment to date</t>
  </si>
  <si>
    <t xml:space="preserve">Provision at month end (USD)</t>
  </si>
  <si>
    <t xml:space="preserve">A: CFO estimate; F: expected shortfall, nil after the December invoice</t>
  </si>
  <si>
    <t xml:space="preserve">Shortfall invoiced in December (USD)</t>
  </si>
  <si>
    <t xml:space="preserve">Check: provision equals the expected shortfall before December (forecast months)</t>
  </si>
  <si>
    <t xml:space="preserve">PROVISION: ONEROUS CLOUD COMMITMENT (EUR)</t>
  </si>
  <si>
    <t xml:space="preserve">USD / rate of the month</t>
  </si>
  <si>
    <t xml:space="preserve">Shortfall invoiced (EUR)</t>
  </si>
  <si>
    <t xml:space="preserve">CHARGE: UNUSED COMMITTED CLOUD SPEND (cost of revenue)</t>
  </si>
  <si>
    <t xml:space="preserve">provision movement + December invoice</t>
  </si>
  <si>
    <t xml:space="preserve">COST TO SERVE PER UNIT BY PRODUCT: GPU, MODEL API AND HOSTING COST PER 1,000 UNITS AGAINST THE REALISED PRICE</t>
  </si>
  <si>
    <t xml:space="preserve">GPU cost (reserved inference share plus on-demand) is allocated by inference GPU hours; model API cost by tokens; hosting by the per-unit rates plus the fixed cost by revenue. Research GPU hours are excluded (research and development).</t>
  </si>
  <si>
    <t xml:space="preserve">DOCUMENT AI (per 1,000 pages)</t>
  </si>
  <si>
    <t xml:space="preserve">Units (thousands)</t>
  </si>
  <si>
    <t xml:space="preserve">GPU cost</t>
  </si>
  <si>
    <t xml:space="preserve">inference GPU cost x share of GPU hours</t>
  </si>
  <si>
    <t xml:space="preserve">Model API cost (vendor C)</t>
  </si>
  <si>
    <t xml:space="preserve">per-unit rate + fixed by revenue</t>
  </si>
  <si>
    <t xml:space="preserve">COMPUTE COST</t>
  </si>
  <si>
    <t xml:space="preserve">Realised price per 1,000 units</t>
  </si>
  <si>
    <t xml:space="preserve">Compute cost per 1,000 units</t>
  </si>
  <si>
    <t xml:space="preserve">of which GPU</t>
  </si>
  <si>
    <t xml:space="preserve">of which model API</t>
  </si>
  <si>
    <t xml:space="preserve">Compute cost % of revenue</t>
  </si>
  <si>
    <t xml:space="preserve">Contribution after compute per 1,000 units</t>
  </si>
  <si>
    <t xml:space="preserve">VOICE AI (per 1,000 audio minutes)</t>
  </si>
  <si>
    <t xml:space="preserve">Model API cost (vendor B)</t>
  </si>
  <si>
    <t xml:space="preserve">vendor B x share of tokens</t>
  </si>
  <si>
    <t xml:space="preserve">AGENT WORKSPACE (per 1,000 agent actions)</t>
  </si>
  <si>
    <t xml:space="preserve">CHECK</t>
  </si>
  <si>
    <t xml:space="preserve">Check: product compute costs less compute in cost of revenue (must be zero)</t>
  </si>
  <si>
    <t xml:space="preserve">GROSS MARGIN BY PRODUCT AND BY SEGMENT (the Account_Register holds the margin by Enterprise account)</t>
  </si>
  <si>
    <t xml:space="preserve">Revenue less compute (Unit_Costs), card fees (Developer and Team sales only) and the solutions, support and success team (by revenue). The unused committed cloud spend is not allocated. Products and segments each add up to the P&amp;L gross profit.</t>
  </si>
  <si>
    <t xml:space="preserve">DOCUMENT AI</t>
  </si>
  <si>
    <t xml:space="preserve">Compute</t>
  </si>
  <si>
    <t xml:space="preserve">Card fees</t>
  </si>
  <si>
    <t xml:space="preserve">by Developer and Team revenue on the product</t>
  </si>
  <si>
    <t xml:space="preserve">Solutions, support and success</t>
  </si>
  <si>
    <t xml:space="preserve">by revenue</t>
  </si>
  <si>
    <t xml:space="preserve">GROSS MARGIN</t>
  </si>
  <si>
    <t xml:space="preserve">VOICE AI</t>
  </si>
  <si>
    <t xml:space="preserve">AGENT WORKSPACE</t>
  </si>
  <si>
    <t xml:space="preserve">BY SEGMENT</t>
  </si>
  <si>
    <t xml:space="preserve">Developer: revenue</t>
  </si>
  <si>
    <t xml:space="preserve">Developer: compute</t>
  </si>
  <si>
    <t xml:space="preserve">product compute cost x segment share of the product units</t>
  </si>
  <si>
    <t xml:space="preserve">Developer: card fees</t>
  </si>
  <si>
    <t xml:space="preserve">Developer: solutions, support and success</t>
  </si>
  <si>
    <t xml:space="preserve">Developer: GROSS MARGIN</t>
  </si>
  <si>
    <t xml:space="preserve">Developer: gross margin %</t>
  </si>
  <si>
    <t xml:space="preserve">Team: revenue</t>
  </si>
  <si>
    <t xml:space="preserve">Team: compute</t>
  </si>
  <si>
    <t xml:space="preserve">Team: card fees</t>
  </si>
  <si>
    <t xml:space="preserve">Team: solutions, support and success</t>
  </si>
  <si>
    <t xml:space="preserve">Team: GROSS MARGIN</t>
  </si>
  <si>
    <t xml:space="preserve">Team: gross margin %</t>
  </si>
  <si>
    <t xml:space="preserve">Enterprise: revenue</t>
  </si>
  <si>
    <t xml:space="preserve">Enterprise: compute</t>
  </si>
  <si>
    <t xml:space="preserve">Enterprise: card fees</t>
  </si>
  <si>
    <t xml:space="preserve">Enterprise: solutions, support and success</t>
  </si>
  <si>
    <t xml:space="preserve">Enterprise: GROSS MARGIN</t>
  </si>
  <si>
    <t xml:space="preserve">Enterprise: gross margin %</t>
  </si>
  <si>
    <t xml:space="preserve">RECONCILIATION TO THE P&amp;L</t>
  </si>
  <si>
    <t xml:space="preserve">Gross margin of the products</t>
  </si>
  <si>
    <t xml:space="preserve">Unused committed cloud spend (not allocated)</t>
  </si>
  <si>
    <t xml:space="preserve">Check: products less the P&amp;L gross profit (must be zero)</t>
  </si>
  <si>
    <t xml:space="preserve">Check: segments less products (must be zero)</t>
  </si>
  <si>
    <t xml:space="preserve">PEOPLE: HEADCOUNT, PAYROLL, EMPLOYER AND EMPLOYEE CONTRIBUTIONS (RGDU, AGIRC-ARRCO), PAS, COMMISSIONS AND PAID LEAVE (EUR)</t>
  </si>
  <si>
    <t xml:space="preserve">Bands on Assumptions; salaries in 12 instalments. URSSAF contributions net of the general degressive reduction (RGDU) up to 3 x SMIC; Agirc-Arrco on bands 1 and 2 of the ceiling; income tax withheld at source at the average rate of the band. A: payroll journal by department; F: bands.</t>
  </si>
  <si>
    <t xml:space="preserve">HEADCOUNT BY BAND (A: payroll; F: prior + planned hires - leavers + replacements)</t>
  </si>
  <si>
    <t xml:space="preserve">Machine learning research scientists</t>
  </si>
  <si>
    <t xml:space="preserve">A: payroll</t>
  </si>
  <si>
    <t xml:space="preserve">Machine learning engineers</t>
  </si>
  <si>
    <t xml:space="preserve">Software engineers</t>
  </si>
  <si>
    <t xml:space="preserve">CTO and engineering leads</t>
  </si>
  <si>
    <t xml:space="preserve">Product managers and designers</t>
  </si>
  <si>
    <t xml:space="preserve">Solutions engineers and support</t>
  </si>
  <si>
    <t xml:space="preserve">Customer success managers</t>
  </si>
  <si>
    <t xml:space="preserve">Head of sales</t>
  </si>
  <si>
    <t xml:space="preserve">Account executives (base salary)</t>
  </si>
  <si>
    <t xml:space="preserve">Sales development representatives</t>
  </si>
  <si>
    <t xml:space="preserve">Marketing</t>
  </si>
  <si>
    <t xml:space="preserve">Founders and executives (CEO, COO)</t>
  </si>
  <si>
    <t xml:space="preserve">Finance, people and office</t>
  </si>
  <si>
    <t xml:space="preserve">TOTAL HEADCOUNT</t>
  </si>
  <si>
    <t xml:space="preserve">LEAVERS AND HIRES (forecast; fractional FTE)</t>
  </si>
  <si>
    <t xml:space="preserve">prior headcount x annual rate / 12 x factor</t>
  </si>
  <si>
    <t xml:space="preserve">Hires in the month (planned and replacements; A: see headcount)</t>
  </si>
  <si>
    <t xml:space="preserve">Planned hires in the month (hiring plan x scenario factor)</t>
  </si>
  <si>
    <t xml:space="preserve">Hires in the month (actual, from the payroll)</t>
  </si>
  <si>
    <t xml:space="preserve">PAY BY BAND (forecast basis; actual months are memo, the payroll journal by department is used)</t>
  </si>
  <si>
    <t xml:space="preserve">RES: gross salaries</t>
  </si>
  <si>
    <t xml:space="preserve">headcount x salary / 12</t>
  </si>
  <si>
    <t xml:space="preserve">MLE: gross salaries</t>
  </si>
  <si>
    <t xml:space="preserve">ENG: gross salaries</t>
  </si>
  <si>
    <t xml:space="preserve">LEAD: gross salaries</t>
  </si>
  <si>
    <t xml:space="preserve">PRD: gross salaries</t>
  </si>
  <si>
    <t xml:space="preserve">SOL: gross salaries</t>
  </si>
  <si>
    <t xml:space="preserve">CSM: gross salaries</t>
  </si>
  <si>
    <t xml:space="preserve">SALH: gross salaries</t>
  </si>
  <si>
    <t xml:space="preserve">AE: gross salaries</t>
  </si>
  <si>
    <t xml:space="preserve">SDR: gross salaries</t>
  </si>
  <si>
    <t xml:space="preserve">MKT: gross salaries</t>
  </si>
  <si>
    <t xml:space="preserve">EXE: gross salaries</t>
  </si>
  <si>
    <t xml:space="preserve">GA: gross salaries</t>
  </si>
  <si>
    <t xml:space="preserve">RES: RGDU coefficient</t>
  </si>
  <si>
    <t xml:space="preserve">Tmin + Tdelta x (0.5 x (3 x SMIC x 12 / salary - 1))^1.75 below 3 x SMIC</t>
  </si>
  <si>
    <t xml:space="preserve">MLE: RGDU coefficient</t>
  </si>
  <si>
    <t xml:space="preserve">ENG: RGDU coefficient</t>
  </si>
  <si>
    <t xml:space="preserve">LEAD: RGDU coefficient</t>
  </si>
  <si>
    <t xml:space="preserve">PRD: RGDU coefficient</t>
  </si>
  <si>
    <t xml:space="preserve">SOL: RGDU coefficient</t>
  </si>
  <si>
    <t xml:space="preserve">CSM: RGDU coefficient</t>
  </si>
  <si>
    <t xml:space="preserve">SALH: RGDU coefficient</t>
  </si>
  <si>
    <t xml:space="preserve">AE: RGDU coefficient</t>
  </si>
  <si>
    <t xml:space="preserve">SDR: RGDU coefficient</t>
  </si>
  <si>
    <t xml:space="preserve">MKT: RGDU coefficient</t>
  </si>
  <si>
    <t xml:space="preserve">EXE: RGDU coefficient</t>
  </si>
  <si>
    <t xml:space="preserve">GA: RGDU coefficient</t>
  </si>
  <si>
    <t xml:space="preserve">RES: RGDU reduction</t>
  </si>
  <si>
    <t xml:space="preserve">coefficient x gross</t>
  </si>
  <si>
    <t xml:space="preserve">MLE: RGDU reduction</t>
  </si>
  <si>
    <t xml:space="preserve">ENG: RGDU reduction</t>
  </si>
  <si>
    <t xml:space="preserve">LEAD: RGDU reduction</t>
  </si>
  <si>
    <t xml:space="preserve">PRD: RGDU reduction</t>
  </si>
  <si>
    <t xml:space="preserve">SOL: RGDU reduction</t>
  </si>
  <si>
    <t xml:space="preserve">CSM: RGDU reduction</t>
  </si>
  <si>
    <t xml:space="preserve">SALH: RGDU reduction</t>
  </si>
  <si>
    <t xml:space="preserve">AE: RGDU reduction</t>
  </si>
  <si>
    <t xml:space="preserve">SDR: RGDU reduction</t>
  </si>
  <si>
    <t xml:space="preserve">MKT: RGDU reduction</t>
  </si>
  <si>
    <t xml:space="preserve">EXE: RGDU reduction</t>
  </si>
  <si>
    <t xml:space="preserve">GA: RGDU reduction</t>
  </si>
  <si>
    <t xml:space="preserve">RES: employer URSSAF net of the RGDU</t>
  </si>
  <si>
    <t xml:space="preserve">MLE: employer URSSAF net of the RGDU</t>
  </si>
  <si>
    <t xml:space="preserve">ENG: employer URSSAF net of the RGDU</t>
  </si>
  <si>
    <t xml:space="preserve">LEAD: employer URSSAF net of the RGDU</t>
  </si>
  <si>
    <t xml:space="preserve">PRD: employer URSSAF net of the RGDU</t>
  </si>
  <si>
    <t xml:space="preserve">SOL: employer URSSAF net of the RGDU</t>
  </si>
  <si>
    <t xml:space="preserve">CSM: employer URSSAF net of the RGDU</t>
  </si>
  <si>
    <t xml:space="preserve">SALH: employer URSSAF net of the RGDU</t>
  </si>
  <si>
    <t xml:space="preserve">AE: employer URSSAF net of the RGDU</t>
  </si>
  <si>
    <t xml:space="preserve">SDR: employer URSSAF net of the RGDU</t>
  </si>
  <si>
    <t xml:space="preserve">MKT: employer URSSAF net of the RGDU</t>
  </si>
  <si>
    <t xml:space="preserve">EXE: employer URSSAF net of the RGDU</t>
  </si>
  <si>
    <t xml:space="preserve">GA: employer URSSAF net of the RGDU</t>
  </si>
  <si>
    <t xml:space="preserve">RES: employer Agirc-Arrco</t>
  </si>
  <si>
    <t xml:space="preserve">bands 1 and 2, CET, APEC</t>
  </si>
  <si>
    <t xml:space="preserve">MLE: employer Agirc-Arrco</t>
  </si>
  <si>
    <t xml:space="preserve">ENG: employer Agirc-Arrco</t>
  </si>
  <si>
    <t xml:space="preserve">LEAD: employer Agirc-Arrco</t>
  </si>
  <si>
    <t xml:space="preserve">PRD: employer Agirc-Arrco</t>
  </si>
  <si>
    <t xml:space="preserve">SOL: employer Agirc-Arrco</t>
  </si>
  <si>
    <t xml:space="preserve">CSM: employer Agirc-Arrco</t>
  </si>
  <si>
    <t xml:space="preserve">SALH: employer Agirc-Arrco</t>
  </si>
  <si>
    <t xml:space="preserve">AE: employer Agirc-Arrco</t>
  </si>
  <si>
    <t xml:space="preserve">SDR: employer Agirc-Arrco</t>
  </si>
  <si>
    <t xml:space="preserve">MKT: employer Agirc-Arrco</t>
  </si>
  <si>
    <t xml:space="preserve">EXE: employer Agirc-Arrco</t>
  </si>
  <si>
    <t xml:space="preserve">GA: employer Agirc-Arrco</t>
  </si>
  <si>
    <t xml:space="preserve">RES: employee URSSAF, CSG and CRDS</t>
  </si>
  <si>
    <t xml:space="preserve">MLE: employee URSSAF, CSG and CRDS</t>
  </si>
  <si>
    <t xml:space="preserve">ENG: employee URSSAF, CSG and CRDS</t>
  </si>
  <si>
    <t xml:space="preserve">LEAD: employee URSSAF, CSG and CRDS</t>
  </si>
  <si>
    <t xml:space="preserve">PRD: employee URSSAF, CSG and CRDS</t>
  </si>
  <si>
    <t xml:space="preserve">SOL: employee URSSAF, CSG and CRDS</t>
  </si>
  <si>
    <t xml:space="preserve">CSM: employee URSSAF, CSG and CRDS</t>
  </si>
  <si>
    <t xml:space="preserve">SALH: employee URSSAF, CSG and CRDS</t>
  </si>
  <si>
    <t xml:space="preserve">AE: employee URSSAF, CSG and CRDS</t>
  </si>
  <si>
    <t xml:space="preserve">SDR: employee URSSAF, CSG and CRDS</t>
  </si>
  <si>
    <t xml:space="preserve">MKT: employee URSSAF, CSG and CRDS</t>
  </si>
  <si>
    <t xml:space="preserve">EXE: employee URSSAF, CSG and CRDS</t>
  </si>
  <si>
    <t xml:space="preserve">GA: employee URSSAF, CSG and CRDS</t>
  </si>
  <si>
    <t xml:space="preserve">RES: employee Agirc-Arrco</t>
  </si>
  <si>
    <t xml:space="preserve">MLE: employee Agirc-Arrco</t>
  </si>
  <si>
    <t xml:space="preserve">ENG: employee Agirc-Arrco</t>
  </si>
  <si>
    <t xml:space="preserve">LEAD: employee Agirc-Arrco</t>
  </si>
  <si>
    <t xml:space="preserve">PRD: employee Agirc-Arrco</t>
  </si>
  <si>
    <t xml:space="preserve">SOL: employee Agirc-Arrco</t>
  </si>
  <si>
    <t xml:space="preserve">CSM: employee Agirc-Arrco</t>
  </si>
  <si>
    <t xml:space="preserve">SALH: employee Agirc-Arrco</t>
  </si>
  <si>
    <t xml:space="preserve">AE: employee Agirc-Arrco</t>
  </si>
  <si>
    <t xml:space="preserve">SDR: employee Agirc-Arrco</t>
  </si>
  <si>
    <t xml:space="preserve">MKT: employee Agirc-Arrco</t>
  </si>
  <si>
    <t xml:space="preserve">EXE: employee Agirc-Arrco</t>
  </si>
  <si>
    <t xml:space="preserve">GA: employee Agirc-Arrco</t>
  </si>
  <si>
    <t xml:space="preserve">RES: income tax withheld at source</t>
  </si>
  <si>
    <t xml:space="preserve">rate x (gross - employee contributions + CSG not deductible)</t>
  </si>
  <si>
    <t xml:space="preserve">MLE: income tax withheld at source</t>
  </si>
  <si>
    <t xml:space="preserve">ENG: income tax withheld at source</t>
  </si>
  <si>
    <t xml:space="preserve">LEAD: income tax withheld at source</t>
  </si>
  <si>
    <t xml:space="preserve">PRD: income tax withheld at source</t>
  </si>
  <si>
    <t xml:space="preserve">SOL: income tax withheld at source</t>
  </si>
  <si>
    <t xml:space="preserve">CSM: income tax withheld at source</t>
  </si>
  <si>
    <t xml:space="preserve">SALH: income tax withheld at source</t>
  </si>
  <si>
    <t xml:space="preserve">AE: income tax withheld at source</t>
  </si>
  <si>
    <t xml:space="preserve">SDR: income tax withheld at source</t>
  </si>
  <si>
    <t xml:space="preserve">MKT: income tax withheld at source</t>
  </si>
  <si>
    <t xml:space="preserve">EXE: income tax withheld at source</t>
  </si>
  <si>
    <t xml:space="preserve">GA: income tax withheld at source</t>
  </si>
  <si>
    <t xml:space="preserve">RES: health, protection and transport schemes</t>
  </si>
  <si>
    <t xml:space="preserve">headcount x cost per head</t>
  </si>
  <si>
    <t xml:space="preserve">MLE: health, protection and transport schemes</t>
  </si>
  <si>
    <t xml:space="preserve">ENG: health, protection and transport schemes</t>
  </si>
  <si>
    <t xml:space="preserve">LEAD: health, protection and transport schemes</t>
  </si>
  <si>
    <t xml:space="preserve">PRD: health, protection and transport schemes</t>
  </si>
  <si>
    <t xml:space="preserve">SOL: health, protection and transport schemes</t>
  </si>
  <si>
    <t xml:space="preserve">CSM: health, protection and transport schemes</t>
  </si>
  <si>
    <t xml:space="preserve">SALH: health, protection and transport schemes</t>
  </si>
  <si>
    <t xml:space="preserve">AE: health, protection and transport schemes</t>
  </si>
  <si>
    <t xml:space="preserve">SDR: health, protection and transport schemes</t>
  </si>
  <si>
    <t xml:space="preserve">MKT: health, protection and transport schemes</t>
  </si>
  <si>
    <t xml:space="preserve">EXE: health, protection and transport schemes</t>
  </si>
  <si>
    <t xml:space="preserve">GA: health, protection and transport schemes</t>
  </si>
  <si>
    <t xml:space="preserve">RES: CIR-eligible personnel cost</t>
  </si>
  <si>
    <t xml:space="preserve">research share x (gross + employer contributions)</t>
  </si>
  <si>
    <t xml:space="preserve">MLE: CIR-eligible personnel cost</t>
  </si>
  <si>
    <t xml:space="preserve">ENG: CIR-eligible personnel cost</t>
  </si>
  <si>
    <t xml:space="preserve">LEAD: CIR-eligible personnel cost</t>
  </si>
  <si>
    <t xml:space="preserve">PRD: CIR-eligible personnel cost</t>
  </si>
  <si>
    <t xml:space="preserve">SOL: CIR-eligible personnel cost</t>
  </si>
  <si>
    <t xml:space="preserve">CSM: CIR-eligible personnel cost</t>
  </si>
  <si>
    <t xml:space="preserve">SALH: CIR-eligible personnel cost</t>
  </si>
  <si>
    <t xml:space="preserve">AE: CIR-eligible personnel cost</t>
  </si>
  <si>
    <t xml:space="preserve">SDR: CIR-eligible personnel cost</t>
  </si>
  <si>
    <t xml:space="preserve">MKT: CIR-eligible personnel cost</t>
  </si>
  <si>
    <t xml:space="preserve">EXE: CIR-eligible personnel cost</t>
  </si>
  <si>
    <t xml:space="preserve">GA: CIR-eligible personnel cost</t>
  </si>
  <si>
    <t xml:space="preserve">PAYROLL BY DEPARTMENT (A: payroll journal; F: sum of bands)</t>
  </si>
  <si>
    <t xml:space="preserve">Research and development: headcount</t>
  </si>
  <si>
    <t xml:space="preserve">Research and development: gross salaries</t>
  </si>
  <si>
    <t xml:space="preserve">Research and development: employer URSSAF net of the RGDU</t>
  </si>
  <si>
    <t xml:space="preserve">Research and development: RGDU reduction (memo)</t>
  </si>
  <si>
    <t xml:space="preserve">Research and development: employer Agirc-Arrco</t>
  </si>
  <si>
    <t xml:space="preserve">Research and development: schemes</t>
  </si>
  <si>
    <t xml:space="preserve">Research and development: employee URSSAF, CSG and CRDS</t>
  </si>
  <si>
    <t xml:space="preserve">Research and development: employee Agirc-Arrco</t>
  </si>
  <si>
    <t xml:space="preserve">Research and development: income tax withheld at source</t>
  </si>
  <si>
    <t xml:space="preserve">Research and development: net salaries</t>
  </si>
  <si>
    <t xml:space="preserve">Solutions, support and customer success: headcount</t>
  </si>
  <si>
    <t xml:space="preserve">Solutions, support and customer success: gross salaries</t>
  </si>
  <si>
    <t xml:space="preserve">Solutions, support and customer success: employer URSSAF net of the RGDU</t>
  </si>
  <si>
    <t xml:space="preserve">Solutions, support and customer success: RGDU reduction (memo)</t>
  </si>
  <si>
    <t xml:space="preserve">Solutions, support and customer success: employer Agirc-Arrco</t>
  </si>
  <si>
    <t xml:space="preserve">Solutions, support and customer success: schemes</t>
  </si>
  <si>
    <t xml:space="preserve">Solutions, support and customer success: employee URSSAF, CSG and CRDS</t>
  </si>
  <si>
    <t xml:space="preserve">Solutions, support and customer success: employee Agirc-Arrco</t>
  </si>
  <si>
    <t xml:space="preserve">Solutions, support and customer success: income tax withheld at source</t>
  </si>
  <si>
    <t xml:space="preserve">Solutions, support and customer success: net salaries</t>
  </si>
  <si>
    <t xml:space="preserve">Sales and marketing: headcount</t>
  </si>
  <si>
    <t xml:space="preserve">Sales and marketing: gross salaries</t>
  </si>
  <si>
    <t xml:space="preserve">Sales and marketing: employer URSSAF net of the RGDU</t>
  </si>
  <si>
    <t xml:space="preserve">Sales and marketing: RGDU reduction (memo)</t>
  </si>
  <si>
    <t xml:space="preserve">Sales and marketing: employer Agirc-Arrco</t>
  </si>
  <si>
    <t xml:space="preserve">Sales and marketing: schemes</t>
  </si>
  <si>
    <t xml:space="preserve">Sales and marketing: employee URSSAF, CSG and CRDS</t>
  </si>
  <si>
    <t xml:space="preserve">Sales and marketing: employee Agirc-Arrco</t>
  </si>
  <si>
    <t xml:space="preserve">Sales and marketing: income tax withheld at source</t>
  </si>
  <si>
    <t xml:space="preserve">Sales and marketing: net salaries</t>
  </si>
  <si>
    <t xml:space="preserve">General and administrative: headcount</t>
  </si>
  <si>
    <t xml:space="preserve">General and administrative: gross salaries</t>
  </si>
  <si>
    <t xml:space="preserve">General and administrative: employer URSSAF net of the RGDU</t>
  </si>
  <si>
    <t xml:space="preserve">General and administrative: RGDU reduction (memo)</t>
  </si>
  <si>
    <t xml:space="preserve">General and administrative: employer Agirc-Arrco</t>
  </si>
  <si>
    <t xml:space="preserve">General and administrative: schemes</t>
  </si>
  <si>
    <t xml:space="preserve">General and administrative: employee URSSAF, CSG and CRDS</t>
  </si>
  <si>
    <t xml:space="preserve">General and administrative: employee Agirc-Arrco</t>
  </si>
  <si>
    <t xml:space="preserve">General and administrative: income tax withheld at source</t>
  </si>
  <si>
    <t xml:space="preserve">General and administrative: net salaries</t>
  </si>
  <si>
    <t xml:space="preserve">PAID LEAVE PROVISION (25 working days a year accrue monthly; valued at gross pay plus employer contributions)</t>
  </si>
  <si>
    <t xml:space="preserve">Days accrued</t>
  </si>
  <si>
    <t xml:space="preserve">headcount x 25 / 12</t>
  </si>
  <si>
    <t xml:space="preserve">Days taken</t>
  </si>
  <si>
    <t xml:space="preserve">A: HR system; F: headcount x 25 x seasonal share</t>
  </si>
  <si>
    <t xml:space="preserve">Days outstanding at month end</t>
  </si>
  <si>
    <t xml:space="preserve">Cost of a day (gross pay + employer contributions per head / working days)</t>
  </si>
  <si>
    <t xml:space="preserve">PAID LEAVE PROVISION</t>
  </si>
  <si>
    <t xml:space="preserve">days x cost of a day</t>
  </si>
  <si>
    <t xml:space="preserve">Movement in the provision (charged to payroll cost)</t>
  </si>
  <si>
    <t xml:space="preserve">PAYROLL COST BY DEPARTMENT (gross + employer contributions + schemes + share of the leave provision movement)</t>
  </si>
  <si>
    <t xml:space="preserve">Research and development: leave provision movement</t>
  </si>
  <si>
    <t xml:space="preserve">by share of gross pay</t>
  </si>
  <si>
    <t xml:space="preserve">Research and development: PAYROLL COST</t>
  </si>
  <si>
    <t xml:space="preserve">Solutions, support and customer success: leave provision movement</t>
  </si>
  <si>
    <t xml:space="preserve">Solutions, support and customer success: PAYROLL COST</t>
  </si>
  <si>
    <t xml:space="preserve">Sales and marketing: leave provision movement</t>
  </si>
  <si>
    <t xml:space="preserve">Sales and marketing: PAYROLL COST</t>
  </si>
  <si>
    <t xml:space="preserve">General and administrative: leave provision movement</t>
  </si>
  <si>
    <t xml:space="preserve">General and administrative: PAYROLL COST</t>
  </si>
  <si>
    <t xml:space="preserve">COMMISSIONS (account executives; expensed, IFRS 15.94)</t>
  </si>
  <si>
    <t xml:space="preserve">Commissions earned</t>
  </si>
  <si>
    <t xml:space="preserve">A: statements; F: rate x commitments signed</t>
  </si>
  <si>
    <t xml:space="preserve">Employer contributions on commissions earned (accrued)</t>
  </si>
  <si>
    <t xml:space="preserve">marginal rates</t>
  </si>
  <si>
    <t xml:space="preserve">COMMISSION COST (in sales and marketing)</t>
  </si>
  <si>
    <t xml:space="preserve">Commissions paid (gross, with the next payroll)</t>
  </si>
  <si>
    <t xml:space="preserve">URSSAF on commissions paid (employer and employee)</t>
  </si>
  <si>
    <t xml:space="preserve">Agirc-Arrco on commissions paid (employer and employee)</t>
  </si>
  <si>
    <t xml:space="preserve">Income tax withheld on commissions paid</t>
  </si>
  <si>
    <t xml:space="preserve">Commissions paid, net</t>
  </si>
  <si>
    <t xml:space="preserve">PAYROLL LIABILITIES AND PAYMENTS</t>
  </si>
  <si>
    <t xml:space="preserve">URSSAF due for the month (employer and employee, incl. commissions paid)</t>
  </si>
  <si>
    <t xml:space="preserve">URSSAF paid (5th of the following month)</t>
  </si>
  <si>
    <t xml:space="preserve">A: bank</t>
  </si>
  <si>
    <t xml:space="preserve">URSSAF PAYABLE</t>
  </si>
  <si>
    <t xml:space="preserve">Income tax withheld in the month (incl. commissions)</t>
  </si>
  <si>
    <t xml:space="preserve">Withholding paid (5th of the following month)</t>
  </si>
  <si>
    <t xml:space="preserve">INCOME TAX WITHHELD PAYABLE</t>
  </si>
  <si>
    <t xml:space="preserve">Agirc-Arrco and schemes due for the month (incl. commissions)</t>
  </si>
  <si>
    <t xml:space="preserve">Agirc-Arrco and schemes paid (25th of the following month)</t>
  </si>
  <si>
    <t xml:space="preserve">AGIRC-ARRCO AND SCHEMES PAYABLE</t>
  </si>
  <si>
    <t xml:space="preserve">Net pay (salaries and commissions, last working day)</t>
  </si>
  <si>
    <t xml:space="preserve">TOTALS AND RESEARCH TIME</t>
  </si>
  <si>
    <t xml:space="preserve">Gross salaries</t>
  </si>
  <si>
    <t xml:space="preserve">Payroll cost (all departments, excl. commissions)</t>
  </si>
  <si>
    <t xml:space="preserve">RGDU reduction (memo)</t>
  </si>
  <si>
    <t xml:space="preserve">CIR-ELIGIBLE PERSONNEL COST</t>
  </si>
  <si>
    <t xml:space="preserve">A: time records; F: bands x research share</t>
  </si>
  <si>
    <t xml:space="preserve">Recruitment cost of hires</t>
  </si>
  <si>
    <t xml:space="preserve">hires x cost</t>
  </si>
  <si>
    <t xml:space="preserve">RESEARCH TAX CREDIT (CIR): ELIGIBLE SPEND, ACCRUAL AS A GRANT (IAS 20), RECEIVABLE AND REFUNDS</t>
  </si>
  <si>
    <t xml:space="preserve">CIR = 30% x (eligible personnel costs + 40% of them for operating costs). Accrued monthly as other operating income while the research is done; claimed with the tax return in May; refunded in cash to an SME. Not taxable income.</t>
  </si>
  <si>
    <t xml:space="preserve">Eligible personnel costs (research time)</t>
  </si>
  <si>
    <t xml:space="preserve">Operating costs at the flat rate</t>
  </si>
  <si>
    <t xml:space="preserve">personnel x 40%</t>
  </si>
  <si>
    <t xml:space="preserve">Eligible base</t>
  </si>
  <si>
    <t xml:space="preserve">CIR ACCRUED (other operating income)</t>
  </si>
  <si>
    <t xml:space="preserve">base x 30%</t>
  </si>
  <si>
    <t xml:space="preserve">Refunded</t>
  </si>
  <si>
    <t xml:space="preserve">A: bank; F: FY2026 claim in the driver month</t>
  </si>
  <si>
    <t xml:space="preserve">CIR RECEIVABLE</t>
  </si>
  <si>
    <t xml:space="preserve">opening + accrued - refunded</t>
  </si>
  <si>
    <t xml:space="preserve">of which FY2025 claim</t>
  </si>
  <si>
    <t xml:space="preserve">of which FY2026 claim</t>
  </si>
  <si>
    <t xml:space="preserve">of which FY2027 claim</t>
  </si>
  <si>
    <t xml:space="preserve">Check: receivable less the claims open (must be zero)</t>
  </si>
  <si>
    <t xml:space="preserve">CIR as a share of research and development payroll cost</t>
  </si>
  <si>
    <t xml:space="preserve">RECEIVABLES: CARD PAYOUTS, ENTERPRISE RECEIVABLES, THE DISPUTED INVOICE AND VAT ON UNCOLLECTED FRENCH INVOICES (EUR)</t>
  </si>
  <si>
    <t xml:space="preserve">Developer packs and Team plans are paid by card and paid out net of fees within the month. Enterprise: the receivable at each forecast month end is the invoicing still inside the collection days (plus the scenario slip); receipts are the balancing figure. The disputed Tervane invoice follows its own drivers.</t>
  </si>
  <si>
    <t xml:space="preserve">CARD SALES</t>
  </si>
  <si>
    <t xml:space="preserve">Credits and Team</t>
  </si>
  <si>
    <t xml:space="preserve">A: statements; F: rate x charges + fee x charges</t>
  </si>
  <si>
    <t xml:space="preserve">Payouts received</t>
  </si>
  <si>
    <t xml:space="preserve">A: bank; F: charges less fees</t>
  </si>
  <si>
    <t xml:space="preserve">CARD PROCESSOR BALANCE</t>
  </si>
  <si>
    <t xml:space="preserve">opening + charges - fees - payouts</t>
  </si>
  <si>
    <t xml:space="preserve">ENTERPRISE ACCOUNTS IN FRANCE (incl. VAT)</t>
  </si>
  <si>
    <t xml:space="preserve">Invoiced incl. VAT</t>
  </si>
  <si>
    <t xml:space="preserve">Disputed Tervane May invoice still open</t>
  </si>
  <si>
    <t xml:space="preserve">A: from June; F: until settled</t>
  </si>
  <si>
    <t xml:space="preserve">Receivable on current invoices per the collection days (forecast rule)</t>
  </si>
  <si>
    <t xml:space="preserve">invoicing still inside the days</t>
  </si>
  <si>
    <t xml:space="preserve">Cash received on current invoices</t>
  </si>
  <si>
    <t xml:space="preserve">A: bank; F: opening current balance + invoiced - receivable per the rule</t>
  </si>
  <si>
    <t xml:space="preserve">Disputed invoice collected</t>
  </si>
  <si>
    <t xml:space="preserve">drivers: month and share</t>
  </si>
  <si>
    <t xml:space="preserve">Credit note on the disputed invoice (incl. VAT)</t>
  </si>
  <si>
    <t xml:space="preserve">Cash received</t>
  </si>
  <si>
    <t xml:space="preserve">RECEIVABLE: ACCOUNTS IN FRANCE</t>
  </si>
  <si>
    <t xml:space="preserve">VAT on French invoices not yet collected (due when paid)</t>
  </si>
  <si>
    <t xml:space="preserve">receivable x 20 / 120</t>
  </si>
  <si>
    <t xml:space="preserve">ENTERPRISE ACCOUNTS OUTSIDE FRANCE</t>
  </si>
  <si>
    <t xml:space="preserve">Invoiced</t>
  </si>
  <si>
    <t xml:space="preserve">Receivable per the collection days (forecast rule)</t>
  </si>
  <si>
    <t xml:space="preserve">A: bank; F: opening + invoiced - receivable per the rule</t>
  </si>
  <si>
    <t xml:space="preserve">RECEIVABLE: ACCOUNTS OUTSIDE FRANCE</t>
  </si>
  <si>
    <t xml:space="preserve">Enterprise receivables</t>
  </si>
  <si>
    <t xml:space="preserve">Debtor days (receivables / invoicing of the last three months x days)</t>
  </si>
  <si>
    <t xml:space="preserve">TOTAL CASH RECEIVED FROM CUSTOMERS</t>
  </si>
  <si>
    <t xml:space="preserve">AGED RECEIVABLES AT THE LAST ACTUAL MONTH (EUR, incl. VAT where charged)</t>
  </si>
  <si>
    <t xml:space="preserve">Open Enterprise invoices aged by due date. Group totals must agree with the ledger. Developer packs and Team plans are paid by card and carry no receivable.</t>
  </si>
  <si>
    <t xml:space="preserve">As at</t>
  </si>
  <si>
    <t xml:space="preserve">Counterparty (fictional)</t>
  </si>
  <si>
    <t xml:space="preserve">Item / document</t>
  </si>
  <si>
    <t xml:space="preserve">Group</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</si>
  <si>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</si>
  <si>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</si>
  <si>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</si>
  <si>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</si>
  <si>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</si>
  <si>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</si>
  <si>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</si>
  <si>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</si>
  <si>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</si>
  <si>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Tervane Assurances</t>
  </si>
  <si>
    <t xml:space="preserve">May invoice: usage above the commitment (incl. 20% VAT), disputed</t>
  </si>
  <si>
    <t xml:space="preserve">Enterprise, France</t>
  </si>
  <si>
    <t xml:space="preserve">Disputed: the account says calls retried during the 28 April incident were billed twice. Engineering review of the call logs under way; 30% credit expected (refund liability booked in August).</t>
  </si>
  <si>
    <t xml:space="preserve">Ambrelle Sante</t>
  </si>
  <si>
    <t xml:space="preserve">July invoice: commitment for the contract quarter (incl. 20% VAT)</t>
  </si>
  <si>
    <t xml:space="preserve">45-day terms.</t>
  </si>
  <si>
    <t xml:space="preserve">Brevalle Logistique</t>
  </si>
  <si>
    <t xml:space="preserve">45-day terms; EUR 50,000.00 received on 28-Aug-26, balance due.</t>
  </si>
  <si>
    <t xml:space="preserve">Solberre Mutuelle</t>
  </si>
  <si>
    <t xml:space="preserve">August invoice: commitment for the contract quarter (incl. 20% VAT)</t>
  </si>
  <si>
    <t xml:space="preserve">Draxholm Logistik</t>
  </si>
  <si>
    <t xml:space="preserve">July invoice: commitment for the contract quarter</t>
  </si>
  <si>
    <t xml:space="preserve">Enterprise, outside France</t>
  </si>
  <si>
    <t xml:space="preserve">Kellbrook Utilities</t>
  </si>
  <si>
    <t xml:space="preserve">45-day terms; EUR 12,500.00 received on 28-Aug-26, balance due.</t>
  </si>
  <si>
    <t xml:space="preserve">Maltessa Telecom</t>
  </si>
  <si>
    <t xml:space="preserve">60-day terms.</t>
  </si>
  <si>
    <t xml:space="preserve">Halvesta Travel</t>
  </si>
  <si>
    <t xml:space="preserve">August invoice: commitment for the contract quarter</t>
  </si>
  <si>
    <t xml:space="preserve">Lunedo Banca</t>
  </si>
  <si>
    <t xml:space="preserve">Oisterra Energia</t>
  </si>
  <si>
    <t xml:space="preserve">TOTAL</t>
  </si>
  <si>
    <t xml:space="preserve">Share of total</t>
  </si>
  <si>
    <t xml:space="preserve">Enterprise, France: aging vs ledger</t>
  </si>
  <si>
    <t xml:space="preserve">Ledger balance</t>
  </si>
  <si>
    <t xml:space="preserve">Difference</t>
  </si>
  <si>
    <t xml:space="preserve">Enterprise, outside France: aging vs ledger</t>
  </si>
  <si>
    <t xml:space="preserve">AGED PAYABLES AT THE LAST ACTUAL MONTH (EUR)</t>
  </si>
  <si>
    <t xml:space="preserve">Open supplier balances aged by due date. USD invoices are shown at the average rate of their month, as booked. Group totals must agree with the Payables schedule.</t>
  </si>
  <si>
    <t xml:space="preserve">Cloud provider A</t>
  </si>
  <si>
    <t xml:space="preserve">August invoice: reserved GPUs, on-demand GPUs and hosting (USD 58,168 at the August average rate)</t>
  </si>
  <si>
    <t xml:space="preserve">Compute suppliers (USD)</t>
  </si>
  <si>
    <t xml:space="preserve">Paid by wire on the 15th; reverse charge, no VAT on the invoice.</t>
  </si>
  <si>
    <t xml:space="preserve">August invoice: voice and agent model tokens (USD 108,660 at the August average rate)</t>
  </si>
  <si>
    <t xml:space="preserve">Paid by wire on the 15th; reverse charge.</t>
  </si>
  <si>
    <t xml:space="preserve">August invoice: document model tokens (EUR)</t>
  </si>
  <si>
    <t xml:space="preserve">EU supplier: reverse charge.</t>
  </si>
  <si>
    <t xml:space="preserve">Software, media platforms and travel</t>
  </si>
  <si>
    <t xml:space="preserve">August charges on the company cards</t>
  </si>
  <si>
    <t xml:space="preserve">Card suppliers</t>
  </si>
  <si>
    <t xml:space="preserve">Card statements settled on the 5th.</t>
  </si>
  <si>
    <t xml:space="preserve">Events agency</t>
  </si>
  <si>
    <t xml:space="preserve">August invoice: autumn conference stand and client event (incl. 20% VAT)</t>
  </si>
  <si>
    <t xml:space="preserve">French suppliers</t>
  </si>
  <si>
    <t xml:space="preserve">30-day terms; VAT deducted when paid.</t>
  </si>
  <si>
    <t xml:space="preserve">Audit, legal and accounting advisers</t>
  </si>
  <si>
    <t xml:space="preserve">August invoices: audit fieldwork and legal advice (incl. 20% VAT)</t>
  </si>
  <si>
    <t xml:space="preserve">Job boards and recruitment platforms</t>
  </si>
  <si>
    <t xml:space="preserve">August invoice: job advertising (incl. 20% VAT)</t>
  </si>
  <si>
    <t xml:space="preserve">IT equipment reseller</t>
  </si>
  <si>
    <t xml:space="preserve">August invoice: IT equipment (incl. 20% VAT)</t>
  </si>
  <si>
    <t xml:space="preserve">Compute suppliers (USD): aging vs schedule</t>
  </si>
  <si>
    <t xml:space="preserve">Model API vendor C: aging vs schedule</t>
  </si>
  <si>
    <t xml:space="preserve">Card suppliers: aging vs schedule</t>
  </si>
  <si>
    <t xml:space="preserve">French suppliers: aging vs schedule</t>
  </si>
  <si>
    <t xml:space="preserve">TRADE PAYABLES, SUPPLIER PAYMENTS AND FOREIGN EXCHANGE ON USD INVOICES (EUR)</t>
  </si>
  <si>
    <t xml:space="preserve">Provider A and vendor B invoice monthly in USD, paid by wire on the 15th of the next month. Each invoice is booked at the average rate of its month and paid at the rate of the payment month: the difference is a realised exchange gain or loss (IAS 21.28). Open USD balances are one month of invoices, carried at the invoice-month rate.</t>
  </si>
  <si>
    <t xml:space="preserve">COMPUTE SUPPLIERS IN USD (Provider A and model API vendor B)</t>
  </si>
  <si>
    <t xml:space="preserve">Invoices (USD)</t>
  </si>
  <si>
    <t xml:space="preserve">usage, APIs and any commitment shortfall</t>
  </si>
  <si>
    <t xml:space="preserve">Invoices (EUR at the rate of the month)</t>
  </si>
  <si>
    <t xml:space="preserve">Paid (EUR debited)</t>
  </si>
  <si>
    <t xml:space="preserve">A: bank; F: prior month USD / rate of this month</t>
  </si>
  <si>
    <t xml:space="preserve">Exchange difference on settlement: gain (+) / loss (-)</t>
  </si>
  <si>
    <t xml:space="preserve">balance booked less EUR paid</t>
  </si>
  <si>
    <t xml:space="preserve">Payable: compute suppliers in USD (EUR)</t>
  </si>
  <si>
    <t xml:space="preserve">Payable in USD (memo)</t>
  </si>
  <si>
    <t xml:space="preserve">MODEL API VENDOR C (EUR, reverse charge)</t>
  </si>
  <si>
    <t xml:space="preserve">Invoices</t>
  </si>
  <si>
    <t xml:space="preserve">Paid (15th of the next month)</t>
  </si>
  <si>
    <t xml:space="preserve">A: bank; F: prior balance</t>
  </si>
  <si>
    <t xml:space="preserve">Payable: vendor C</t>
  </si>
  <si>
    <t xml:space="preserve">COMPANY CARD STATEMENTS (software, paid media, travel)</t>
  </si>
  <si>
    <t xml:space="preserve">Charges</t>
  </si>
  <si>
    <t xml:space="preserve">Paid (statement settled on the 5th)</t>
  </si>
  <si>
    <t xml:space="preserve">Payable: card statements</t>
  </si>
  <si>
    <t xml:space="preserve">FRENCH SUPPLIERS (events, advisers, recruitment, equipment; incl. VAT)</t>
  </si>
  <si>
    <t xml:space="preserve">Invoices incl. VAT</t>
  </si>
  <si>
    <t xml:space="preserve">Paid (30 days)</t>
  </si>
  <si>
    <t xml:space="preserve">Payable: French suppliers</t>
  </si>
  <si>
    <t xml:space="preserve">TOTAL TRADE PAYABLES</t>
  </si>
  <si>
    <t xml:space="preserve">VAT: MONTHLY CA3 POSITION (VAT ON SERVICES DUE ON COLLECTION, DEDUCTED ON PAYMENT), DES AND REVERSE CHARGE (EUR)</t>
  </si>
  <si>
    <t xml:space="preserve">Output VAT on card sales to customers in France and on French Enterprise receipts; input VAT on French supplier and rent payments. Services bought from abroad are self-assessed and deducted on the same return. A month with a credit carries it into the next return.</t>
  </si>
  <si>
    <t xml:space="preserve">Output VAT: card sales in France (paid at purchase)</t>
  </si>
  <si>
    <t xml:space="preserve">Output VAT: French Enterprise receipts</t>
  </si>
  <si>
    <t xml:space="preserve">receipts x 20 / 120</t>
  </si>
  <si>
    <t xml:space="preserve">Input VAT: French supplier payments</t>
  </si>
  <si>
    <t xml:space="preserve">payments x 20 / 120</t>
  </si>
  <si>
    <t xml:space="preserve">Input VAT: rent</t>
  </si>
  <si>
    <t xml:space="preserve">NET VAT FOR THE MONTH</t>
  </si>
  <si>
    <t xml:space="preserve">VAT paid (CA3, next month)</t>
  </si>
  <si>
    <t xml:space="preserve">A: bank; F: prior position if payable</t>
  </si>
  <si>
    <t xml:space="preserve">VAT PAYABLE / (CREDIT CARRIED FORWARD)</t>
  </si>
  <si>
    <t xml:space="preserve">Check: position equals the month plus any credit carried (must be zero)</t>
  </si>
  <si>
    <t xml:space="preserve">VAT to deduct on French supplier invoices not yet paid (asset)</t>
  </si>
  <si>
    <t xml:space="preserve">payable x 20 / 120</t>
  </si>
  <si>
    <t xml:space="preserve">Reverse charge on services bought abroad (self-assessed and deducted: nets to zero)</t>
  </si>
  <si>
    <t xml:space="preserve">Services to EU businesses declared on the DES (reverse charge by the customer)</t>
  </si>
  <si>
    <t xml:space="preserve">CORPORATE INCOME TAX (IS) AND TAX LOSSES (EUR)</t>
  </si>
  <si>
    <t xml:space="preserve">Taxable result = profit before tax less the research tax credit (not taxable). Losses carried forward offset up to EUR 1m plus 50% of the profit above EUR 1m; no deferred tax asset recognised. No instalments are due while the company is loss-making.</t>
  </si>
  <si>
    <t xml:space="preserve">Profit before tax</t>
  </si>
  <si>
    <t xml:space="preserve">Less: research tax credit (not taxable)</t>
  </si>
  <si>
    <t xml:space="preserve">Taxable result</t>
  </si>
  <si>
    <t xml:space="preserve">Taxable profit year to date before losses</t>
  </si>
  <si>
    <t xml:space="preserve">Tax losses available at the start of the year</t>
  </si>
  <si>
    <t xml:space="preserve">Tax losses used year to date</t>
  </si>
  <si>
    <t xml:space="preserve">EUR 1m + 50% above</t>
  </si>
  <si>
    <t xml:space="preserve">Tax losses carried forward at the month end</t>
  </si>
  <si>
    <t xml:space="preserve">available + losses of the year - used</t>
  </si>
  <si>
    <t xml:space="preserve">Corporate income tax year to date</t>
  </si>
  <si>
    <t xml:space="preserve">CHARGE FOR THE MONTH (P&amp;L)</t>
  </si>
  <si>
    <t xml:space="preserve">Paid (balance with the return in May of the next year)</t>
  </si>
  <si>
    <t xml:space="preserve">CORPORATE INCOME TAX PAYABLE</t>
  </si>
  <si>
    <t xml:space="preserve">OVERHEADS: COST LINES, VAT CLASS, RENT PAID IN ADVANCE AND LOCAL BUSINESS TAXES (EUR ex VAT)</t>
  </si>
  <si>
    <t xml:space="preserve">A: ledger. F: the FY2026 level on Assumptions, driven by headcount (tools) or hires (recruitment); overhead inflation from FY2027; marketing programmes x the scenario factor in FY2027. CFE and CVAE accrue monthly and are paid on the tax calendar.</t>
  </si>
  <si>
    <t xml:space="preserve">COST LINES</t>
  </si>
  <si>
    <t xml:space="preserve">reverse charge</t>
  </si>
  <si>
    <t xml:space="preserve">French VAT 20%</t>
  </si>
  <si>
    <t xml:space="preserve">Office rent, Paris (quarterly in advance)</t>
  </si>
  <si>
    <t xml:space="preserve">no VAT recovered</t>
  </si>
  <si>
    <t xml:space="preserve">Travel (VAT not recovered)</t>
  </si>
  <si>
    <t xml:space="preserve">TOTAL OVERHEADS</t>
  </si>
  <si>
    <t xml:space="preserve">RENT (paid quarterly in advance incl. VAT) AND INSURANCE</t>
  </si>
  <si>
    <t xml:space="preserve">Rent paid incl. VAT (first working day of each quarter)</t>
  </si>
  <si>
    <t xml:space="preserve">A: bank; F: three months in advance</t>
  </si>
  <si>
    <t xml:space="preserve">PREPAID RENT</t>
  </si>
  <si>
    <t xml:space="preserve">opening + paid ex VAT - expense</t>
  </si>
  <si>
    <t xml:space="preserve">Insurance paid (direct debit in the month)</t>
  </si>
  <si>
    <t xml:space="preserve">A: bank; F: expense</t>
  </si>
  <si>
    <t xml:space="preserve">LOCAL BUSINESS TAXES (CFE AND CVAE)</t>
  </si>
  <si>
    <t xml:space="preserve">Paid (May: CVAE balance; June: CFE and CVAE instalments; September: CVAE instalment; December: CFE)</t>
  </si>
  <si>
    <t xml:space="preserve">A: bank; F: calendar</t>
  </si>
  <si>
    <t xml:space="preserve">LOCAL BUSINESS TAXES ACCRUED</t>
  </si>
  <si>
    <t xml:space="preserve">Check at December: accrued equals the CVAE of the year less its two instalments (must be zero)</t>
  </si>
  <si>
    <t xml:space="preserve">FIXED ASSETS: IT EQUIPMENT AND OFFICE FIT-OUT (EUR); GPUs ARE RENTED, NOT OWNED</t>
  </si>
  <si>
    <t xml:space="preserve">A: asset register. F: equipment for each hire plus the replacement cycle; depreciation straight line over 36 months from the month after.</t>
  </si>
  <si>
    <t xml:space="preserve">Capex: IT equipment</t>
  </si>
  <si>
    <t xml:space="preserve">A: register; F: hires x equipment + replacement</t>
  </si>
  <si>
    <t xml:space="preserve">Depreciation of assets held at 31-Dec-25</t>
  </si>
  <si>
    <t xml:space="preserve">register</t>
  </si>
  <si>
    <t xml:space="preserve">Depreciation of additions (36 months)</t>
  </si>
  <si>
    <t xml:space="preserve">DEPRECIATION</t>
  </si>
  <si>
    <t xml:space="preserve">FIXED ASSETS, NET BOOK VALUE</t>
  </si>
  <si>
    <t xml:space="preserve">TREASURY: INTEREST ON DEPOSITS, EQUITY AND RUNWAY (EUR)</t>
  </si>
  <si>
    <t xml:space="preserve">Cash is held on term deposits paying monthly. No debt and no new equity in any scenario: the CFO report sizes the funding need against the board buffer.</t>
  </si>
  <si>
    <t xml:space="preserve">Interest received on deposits</t>
  </si>
  <si>
    <t xml:space="preserve">A: bank; F: prior month-end cash x rate / 12</t>
  </si>
  <si>
    <t xml:space="preserve">ENTERPRISE ACCOUNT REGISTER AND PIPELINE (FICTIONAL)</t>
  </si>
  <si>
    <t xml:space="preserve">One row per Enterprise account and named opportunity. Blue = input (contract terms, usage, probabilities). Black = derived. Renewal probabilities apply at each anniversary, win probabilities to pipeline deals; forecast values are expected values.</t>
  </si>
  <si>
    <t xml:space="preserve">Code</t>
  </si>
  <si>
    <t xml:space="preserve">Account (fictional)</t>
  </si>
  <si>
    <t xml:space="preserve">Country</t>
  </si>
  <si>
    <t xml:space="preserve">Sector</t>
  </si>
  <si>
    <t xml:space="preserve">VAT on invoices</t>
  </si>
  <si>
    <t xml:space="preserve">First contract start (month)</t>
  </si>
  <si>
    <t xml:space="preserve">Start month no.</t>
  </si>
  <si>
    <t xml:space="preserve">Annual commitment at 31-Dec-25 (live) or at signature</t>
  </si>
  <si>
    <t xml:space="preserve">Usage in Dec-25 (live) or first month</t>
  </si>
  <si>
    <t xml:space="preserve">Usage in the contract year to 31-Dec-25</t>
  </si>
  <si>
    <t xml:space="preserve">Contract position at 31-Dec-25 (+ billed ahead)</t>
  </si>
  <si>
    <t xml:space="preserve">Usage growth a month</t>
  </si>
  <si>
    <t xml:space="preserve">Mix: Document AI</t>
  </si>
  <si>
    <t xml:space="preserve">Mix: Voice AI</t>
  </si>
  <si>
    <t xml:space="preserve">Mix: Agent workspace</t>
  </si>
  <si>
    <t xml:space="preserve">Discount to list</t>
  </si>
  <si>
    <t xml:space="preserve">Payment terms (days)</t>
  </si>
  <si>
    <t xml:space="preserve">Probability Base (renewal or win)</t>
  </si>
  <si>
    <t xml:space="preserve">Probability Downside</t>
  </si>
  <si>
    <t xml:space="preserve">Probability Upside</t>
  </si>
  <si>
    <t xml:space="preserve">Probability selected</t>
  </si>
  <si>
    <t xml:space="preserve">Effective start month no.</t>
  </si>
  <si>
    <t xml:space="preserve">Renewal month</t>
  </si>
  <si>
    <t xml:space="preserve">Units weight: Document AI (mix / (1 - discount))</t>
  </si>
  <si>
    <t xml:space="preserve">Units weight: Voice AI</t>
  </si>
  <si>
    <t xml:space="preserve">Units weight: Agent workspace</t>
  </si>
  <si>
    <t xml:space="preserve">Usage at the last actual month</t>
  </si>
  <si>
    <t xml:space="preserve">Commitment at the last actual month</t>
  </si>
  <si>
    <t xml:space="preserve">Revenue FY2026</t>
  </si>
  <si>
    <t xml:space="preserve">Revenue FY2027</t>
  </si>
  <si>
    <t xml:space="preserve">Share of FY2026 revenue</t>
  </si>
  <si>
    <t xml:space="preserve">Compute cost FY2026</t>
  </si>
  <si>
    <t xml:space="preserve">Gross margin FY2026 after compute and support</t>
  </si>
  <si>
    <t xml:space="preserve">Gross margin % FY2026</t>
  </si>
  <si>
    <t xml:space="preserve">Account note (fictional)</t>
  </si>
  <si>
    <t xml:space="preserve">FR</t>
  </si>
  <si>
    <t xml:space="preserve">Live</t>
  </si>
  <si>
    <t xml:space="preserve">Largest account: claims automation across three business lines. Renewed in June 2026 at EUR 380k (from EUR 350k). May overage invoice disputed: the account says calls retried during the 28 April incident were billed twice; engineering review under way.</t>
  </si>
  <si>
    <t xml:space="preserve">DE</t>
  </si>
  <si>
    <t xml:space="preserve">Logistics</t>
  </si>
  <si>
    <t xml:space="preserve">IT</t>
  </si>
  <si>
    <t xml:space="preserve">Banking</t>
  </si>
  <si>
    <t xml:space="preserve">UK</t>
  </si>
  <si>
    <t xml:space="preserve">Utilities</t>
  </si>
  <si>
    <t xml:space="preserve">Used EUR 159k of its EUR 190k commitment in the contract year to March 2026: the unused EUR 31k was recognised at the end of that year. Renewed in April at EUR 210k.</t>
  </si>
  <si>
    <t xml:space="preserve">Health insurance</t>
  </si>
  <si>
    <t xml:space="preserve">Veskari Telecom</t>
  </si>
  <si>
    <t xml:space="preserve">FI</t>
  </si>
  <si>
    <t xml:space="preserve">Telecoms</t>
  </si>
  <si>
    <t xml:space="preserve">ES</t>
  </si>
  <si>
    <t xml:space="preserve">Energy</t>
  </si>
  <si>
    <t xml:space="preserve">Pravenza Retail</t>
  </si>
  <si>
    <t xml:space="preserve">Retail</t>
  </si>
  <si>
    <t xml:space="preserve">Lost at the Mar-26 renewal</t>
  </si>
  <si>
    <t xml:space="preserve">Did not renew in March 2026: moved the workload to an in-house model built on an open-weights model.</t>
  </si>
  <si>
    <t xml:space="preserve">Ivarone Insurance</t>
  </si>
  <si>
    <t xml:space="preserve">IE</t>
  </si>
  <si>
    <t xml:space="preserve">Mercadel Foods</t>
  </si>
  <si>
    <t xml:space="preserve">Food</t>
  </si>
  <si>
    <t xml:space="preserve">Varnholm Freight</t>
  </si>
  <si>
    <t xml:space="preserve">SE</t>
  </si>
  <si>
    <t xml:space="preserve">Won in 2026</t>
  </si>
  <si>
    <t xml:space="preserve">Won in April 2026.</t>
  </si>
  <si>
    <t xml:space="preserve">Won in July 2026: the largest new commitment of the year.</t>
  </si>
  <si>
    <t xml:space="preserve">P01</t>
  </si>
  <si>
    <t xml:space="preserve">Grevon Assurances</t>
  </si>
  <si>
    <t xml:space="preserve">Pipeline</t>
  </si>
  <si>
    <t xml:space="preserve">Proposal submitted; security review passed.</t>
  </si>
  <si>
    <t xml:space="preserve">P02</t>
  </si>
  <si>
    <t xml:space="preserve">Aldebrink Logistics</t>
  </si>
  <si>
    <t xml:space="preserve">NL</t>
  </si>
  <si>
    <t xml:space="preserve">Paid pilot running on two warehouses.</t>
  </si>
  <si>
    <t xml:space="preserve">P03</t>
  </si>
  <si>
    <t xml:space="preserve">Serranova Banca</t>
  </si>
  <si>
    <t xml:space="preserve">Procurement; competing with a US vendor.</t>
  </si>
  <si>
    <t xml:space="preserve">P04</t>
  </si>
  <si>
    <t xml:space="preserve">Kettelby Water</t>
  </si>
  <si>
    <t xml:space="preserve">Discovery.</t>
  </si>
  <si>
    <t xml:space="preserve">P05</t>
  </si>
  <si>
    <t xml:space="preserve">Vanthor Energie</t>
  </si>
  <si>
    <t xml:space="preserve">Shortlisted.</t>
  </si>
  <si>
    <t xml:space="preserve">Live accounts: probability = renewal probability at each anniversary. Accounts won in 2026 and won pipeline deals renew at the probability on Assumptions. Pipeline: probability = win probability, applied to the commitment and usage from the effective start month. Names are invented.</t>
  </si>
  <si>
    <t xml:space="preserve">SERENNIX AI SAS (FICTIONAL DEMONSTRATION COMPANY)</t>
  </si>
  <si>
    <t xml:space="preserve">ASSUMPTIONS, TIMELINE AND SCENARIO DRIVERS</t>
  </si>
  <si>
    <t xml:space="preserve">Every input lives here, on Inputs_Actuals, History, the Account_Register or Budget_FY26. Blue on yellow = input. Black = formula. Green = link to another sheet.</t>
  </si>
  <si>
    <t xml:space="preserve">GENERAL</t>
  </si>
  <si>
    <t xml:space="preserve">Company name</t>
  </si>
  <si>
    <t xml:space="preserve">Serennix AI SAS (fictional demonstration company)</t>
  </si>
  <si>
    <t xml:space="preserve">All figures fictional. French simplified joint-stock company (SAS) in Paris, founded 2014, financial year = calendar year, reporting currency EUR. Management accounts under IFRS; statutory accounts under French GAAP (PCG), differences not modelled.</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</si>
  <si>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</si>
  <si>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</si>
  <si>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</si>
  <si>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</si>
  <si>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</si>
  <si>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</si>
  <si>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</si>
  <si>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</si>
  <si>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</si>
  <si>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input</t>
  </si>
  <si>
    <t xml:space="preserve">Change this cell and every forecast month moves. Base = management case; Downside = worst case; Upside = best case.</t>
  </si>
  <si>
    <t xml:space="preserve">Scenario name</t>
  </si>
  <si>
    <t xml:space="preserve">Board policy: six months of net burn; used by the 13-week cash forecast and the CFO report</t>
  </si>
  <si>
    <t xml:space="preserve">Undrawn overdraft facility available</t>
  </si>
  <si>
    <t xml:space="preserve">No overdraft or credit facility; the company is funded by equity</t>
  </si>
  <si>
    <t xml:space="preserve">Aged receivables and payables: as-at date</t>
  </si>
  <si>
    <t xml:space="preserve">TAX (FRANCE), VERIFIED AGAINST PRIMARY SOURCES ON 23-SEP-26</t>
  </si>
  <si>
    <t xml:space="preserve">VAT: standard rate</t>
  </si>
  <si>
    <t xml:space="preserve">rate</t>
  </si>
  <si>
    <t xml:space="preserve">impots.gouv.fr; CGI art. 278. Charged to customers in France only.</t>
  </si>
  <si>
    <t xml:space="preserve">VAT on services sold to businesses abroad</t>
  </si>
  <si>
    <t xml:space="preserve">Services to businesses in another EU state are reverse charged by the customer and declared monthly on the DES (CGI art. 289 B); services to businesses outside the EU are outside the scope of French VAT. Services bought from suppliers abroad (compute, software, media) are self-assessed on the CA3 and deducted at the same time.</t>
  </si>
  <si>
    <t xml:space="preserve">When VAT on services is due</t>
  </si>
  <si>
    <t xml:space="preserve">On collection of the price, not on invoicing, unless the supplier opts for debits (CGI art. 269-2-c; BOFiP BOI-TVA-BASE-20-20 para. 30). VAT on French invoices not yet collected is carried as a separate liability; VAT on services bought is deducted when paid.</t>
  </si>
  <si>
    <t xml:space="preserve">Developer: share of billing to customers in France (20% VAT)</t>
  </si>
  <si>
    <t xml:space="preserve">share</t>
  </si>
  <si>
    <t xml:space="preserve">Billing system analysis (fictional)</t>
  </si>
  <si>
    <t xml:space="preserve">Developer: share of billing to customers in other EU states (reverse charge)</t>
  </si>
  <si>
    <t xml:space="preserve">Developer: share of billing to customers in outside the EU (outside the scope)</t>
  </si>
  <si>
    <t xml:space="preserve">Team: share of billing to customers in France (20% VAT)</t>
  </si>
  <si>
    <t xml:space="preserve">Team: share of billing to customers in other EU states (reverse charge)</t>
  </si>
  <si>
    <t xml:space="preserve">Team: share of billing to customers in outside the EU (outside the scope)</t>
  </si>
  <si>
    <t xml:space="preserve">Monthly VAT return (CA3) paid on day</t>
  </si>
  <si>
    <t xml:space="preserve">day</t>
  </si>
  <si>
    <t xml:space="preserve">impots.gouv.fr: between the 15th and the 24th of the following month, on the date shown in the company professional space (company date: the 19th)</t>
  </si>
  <si>
    <t xml:space="preserve">Corporate income tax (IS): standard rate</t>
  </si>
  <si>
    <t xml:space="preserve">CGI art. 219; the 15% SME rate needs 75% of the capital held by individuals: not met (venture funds hold the majority)</t>
  </si>
  <si>
    <t xml:space="preserve">Tax losses carried forward at 31-Dec-25</t>
  </si>
  <si>
    <t xml:space="preserve">FY2025 tax return (fictional); larger than the accounting losses because the research tax credit is not taxable</t>
  </si>
  <si>
    <t xml:space="preserve">Tax losses: amount always usable per year</t>
  </si>
  <si>
    <t xml:space="preserve">CGI art. 209-I; BOFiP: EUR 1m plus 50% of the profit above EUR 1m; no time limit</t>
  </si>
  <si>
    <t xml:space="preserve">Tax losses: share of the profit above EUR 1m usable</t>
  </si>
  <si>
    <t xml:space="preserve">Research tax credit (CIR): rate on eligible spend</t>
  </si>
  <si>
    <t xml:space="preserve">CGI art. 244 quater B: 30% up to EUR 100m of eligible spend</t>
  </si>
  <si>
    <t xml:space="preserve">CIR: operating costs, flat rate on eligible personnel costs</t>
  </si>
  <si>
    <t xml:space="preserve">BOFiP ACTU-2025-00105 (loi de finances pour 2025, art. 55): 40% instead of 43% for expenses from 15 February 2025; patent costs and technology watch removed</t>
  </si>
  <si>
    <t xml:space="preserve">CIR: refund and accounting</t>
  </si>
  <si>
    <t xml:space="preserve">SMEs under the EU definition get the credit refunded in cash when it cannot be set against corporate tax (CGI art. 199 ter B). Assumption: the company qualifies (its venture investors are not linked enterprises); to confirm with the tax adviser. Presented under IAS 20 as other operating income as the eligible costs are incurred; not taxable income.</t>
  </si>
  <si>
    <t xml:space="preserve">CIR for FY2025 (claimed with the FY2025 return, form 2069-A)</t>
  </si>
  <si>
    <t xml:space="preserve">Refunded in July 2026 (bank)</t>
  </si>
  <si>
    <t xml:space="preserve">CFE 2026 (business property tax, Paris office)</t>
  </si>
  <si>
    <t xml:space="preserve">impots.gouv.fr: due 15 December; an instalment of 50% of the prior year by 15 June when the prior year was at least EUR 3,000</t>
  </si>
  <si>
    <t xml:space="preserve">CVAE 2026 (value added contribution)</t>
  </si>
  <si>
    <t xml:space="preserve">impots.gouv.fr: instalments on 15 June and 15 September when the prior year exceeded EUR 1,500; balance with the 1329-DEF in May. Rates frozen at the 2024 level for 2026 and 2027, abolition in 2030 (loi de finances pour 2026, LégiFiscal)</t>
  </si>
  <si>
    <t xml:space="preserve">CVAE instalment 2026 (each, June and September)</t>
  </si>
  <si>
    <t xml:space="preserve">50% of the CVAE on the 2025 value added</t>
  </si>
  <si>
    <t xml:space="preserve">CFE 2027 (company estimate)</t>
  </si>
  <si>
    <t xml:space="preserve">CVAE 2027 (company estimate)</t>
  </si>
  <si>
    <t xml:space="preserve">E-invoicing and e-reporting</t>
  </si>
  <si>
    <t xml:space="preserve">impots.gouv.fr practical guide: every company must be able to receive electronic invoices from 1 September 2026; large companies and mid-caps issue them from that date, SMEs and micro-enterprises from 1 September 2027. The company, an SME, receives from September 2026 and issues from September 2027.</t>
  </si>
  <si>
    <t xml:space="preserve">SOCIAL CONTRIBUTIONS 2026 (URSSAF, AGIRC-ARRCO); 2027 CEILING AND SMIC ARE ASSUMPTIONS</t>
  </si>
  <si>
    <t xml:space="preserve">Health insurance (maladie), employer</t>
  </si>
  <si>
    <t xml:space="preserve">LégiSocial 2026 URSSAF table; the 7% reduced rate is abolished from 1-Jan-26 (service-public.gouv.fr F24542)</t>
  </si>
  <si>
    <t xml:space="preserve">Old age capped (up to the ceiling), employer</t>
  </si>
  <si>
    <t xml:space="preserve">Old age uncapped, employer</t>
  </si>
  <si>
    <t xml:space="preserve">Family allowances, employer</t>
  </si>
  <si>
    <t xml:space="preserve">5.25%; the 3.45% reduced rate is abolished from 1-Jan-26 and folded into the RGDU (economie.gouv.fr)</t>
  </si>
  <si>
    <t xml:space="preserve">Work accident (AT/MP), employer</t>
  </si>
  <si>
    <t xml:space="preserve">Assumption: 0.80% for office activities; information needed: the notified rate</t>
  </si>
  <si>
    <t xml:space="preserve">Autonomy solidarity (CSA), employer</t>
  </si>
  <si>
    <t xml:space="preserve">Housing fund (FNAL), 50 staff or more, employer</t>
  </si>
  <si>
    <t xml:space="preserve">Social dialogue contribution, employer</t>
  </si>
  <si>
    <t xml:space="preserve">Unemployment insurance (up to 4 ceilings), employer</t>
  </si>
  <si>
    <t xml:space="preserve">Wage guarantee (AGS, up to 4 ceilings), employer</t>
  </si>
  <si>
    <t xml:space="preserve">Transport levy (versement mobilité), Paris</t>
  </si>
  <si>
    <t xml:space="preserve">service-public.gouv.fr: 3.20% for Paris since 1 February 2024 (employers with 11 staff or more)</t>
  </si>
  <si>
    <t xml:space="preserve">Training and apprenticeship (CUFPA), 11 staff or more</t>
  </si>
  <si>
    <t xml:space="preserve">1.00% training plus 0.68% apprenticeship tax</t>
  </si>
  <si>
    <t xml:space="preserve">Agirc-Arrco pension, band 1, employer</t>
  </si>
  <si>
    <t xml:space="preserve">LégiSocial, Agirc-Arrco 2026: 4.72% and 3.15%; CEG 1.29% and 0.86%</t>
  </si>
  <si>
    <t xml:space="preserve">Agirc-Arrco CEG, band 1, employer</t>
  </si>
  <si>
    <t xml:space="preserve">Agirc-Arrco pension, band 2, employer</t>
  </si>
  <si>
    <t xml:space="preserve">12.95% and 8.64%; CEG 1.62% and 1.08%</t>
  </si>
  <si>
    <t xml:space="preserve">Agirc-Arrco CEG, band 2, employer</t>
  </si>
  <si>
    <t xml:space="preserve">Agirc-Arrco CET (pay above the ceiling), employer</t>
  </si>
  <si>
    <t xml:space="preserve">0.21% and 0.14% on the whole pay up to 8 ceilings</t>
  </si>
  <si>
    <t xml:space="preserve">APEC (managers, up to 4 ceilings), employer</t>
  </si>
  <si>
    <t xml:space="preserve">0.036% and 0.024%</t>
  </si>
  <si>
    <t xml:space="preserve">Old age capped, employee</t>
  </si>
  <si>
    <t xml:space="preserve">Old age uncapped, employee</t>
  </si>
  <si>
    <t xml:space="preserve">Agirc-Arrco band 1, employee</t>
  </si>
  <si>
    <t xml:space="preserve">Agirc-Arrco CEG band 1, employee</t>
  </si>
  <si>
    <t xml:space="preserve">Agirc-Arrco band 2, employee</t>
  </si>
  <si>
    <t xml:space="preserve">Agirc-Arrco CEG band 2, employee</t>
  </si>
  <si>
    <t xml:space="preserve">Agirc-Arrco CET, employee</t>
  </si>
  <si>
    <t xml:space="preserve">APEC, employee</t>
  </si>
  <si>
    <t xml:space="preserve">CSG and CRDS, employee (on 98.25% of pay)</t>
  </si>
  <si>
    <t xml:space="preserve">6.80% deductible, 2.40% and 0.50% not deductible</t>
  </si>
  <si>
    <t xml:space="preserve">CSG and CRDS base (share of gross pay)</t>
  </si>
  <si>
    <t xml:space="preserve">CSG and CRDS not deductible (added to the income tax base)</t>
  </si>
  <si>
    <t xml:space="preserve">RGDU: minimum coefficient (Tmin)</t>
  </si>
  <si>
    <t xml:space="preserve">coef</t>
  </si>
  <si>
    <t xml:space="preserve">service-public.gouv.fr F24542: from 1-Jan-26 the general reduction is degressive up to 3 x SMIC; 50 staff or more: Tmin 0.0200, Tdelta 0.3821, exponent 1.75, maximum 0.4021</t>
  </si>
  <si>
    <t xml:space="preserve">RGDU: Tdelta</t>
  </si>
  <si>
    <t xml:space="preserve">RGDU: exponent</t>
  </si>
  <si>
    <t xml:space="preserve">power</t>
  </si>
  <si>
    <t xml:space="preserve">Monthly social security ceiling (PMSS) 2026</t>
  </si>
  <si>
    <t xml:space="preserve">Arrêté du 22 décembre 2025 (Légifrance): EUR 4,005</t>
  </si>
  <si>
    <t xml:space="preserve">Monthly social security ceiling 2027</t>
  </si>
  <si>
    <t xml:space="preserve">Assumption: +2.0% until the 2027 arrete is published</t>
  </si>
  <si>
    <t xml:space="preserve">SMIC (monthly, 35 hours) from 1-Jan-26</t>
  </si>
  <si>
    <t xml:space="preserve">info.gouv.fr: EUR 1,823.03 from 1 January 2026, EUR 1,867.02 from 1 June 2026 (automatic revaluation)</t>
  </si>
  <si>
    <t xml:space="preserve">SMIC (monthly) from 1-Jun-26</t>
  </si>
  <si>
    <t xml:space="preserve">SMIC (monthly) from 1-Jan-27</t>
  </si>
  <si>
    <t xml:space="preserve">Assumption: +1.8% on 1 January 2027</t>
  </si>
  <si>
    <t xml:space="preserve">Health, protection and transport schemes: employer cost per head a month</t>
  </si>
  <si>
    <t xml:space="preserve">Company plans (fictional), including the statutory 50% of public transport passes</t>
  </si>
  <si>
    <t xml:space="preserve">Payment dates</t>
  </si>
  <si>
    <t xml:space="preserve">Salaries on the last working day. Employers with 50 staff or more paying within the month: DSN and URSSAF contributions by the 5th of the following month (Weblex; URSSAF), income tax withheld at source (PAS) by the 5th (BOFiP, PAS reversement); Agirc-Arrco contributions paid monthly, effective by the 25th of the following month (agirc-arrco.fr).</t>
  </si>
  <si>
    <t xml:space="preserve">Paid leave: working days a year</t>
  </si>
  <si>
    <t xml:space="preserve">days</t>
  </si>
  <si>
    <t xml:space="preserve">Code du travail L3141-3: 2.5 working days (ouvrables) a month, modelled as 25 working days (ouvres) a year; provision valued at gross pay plus employer contributions</t>
  </si>
  <si>
    <t xml:space="preserve">Working days a month (to value a day of leave)</t>
  </si>
  <si>
    <t xml:space="preserve">PEOPLE: PAY BANDS (FY2026 salaries paid in 12 instalments; fictional payroll analysis)</t>
  </si>
  <si>
    <t xml:space="preserve">Band</t>
  </si>
  <si>
    <t xml:space="preserve">Department</t>
  </si>
  <si>
    <t xml:space="preserve">Annual salary FY2026</t>
  </si>
  <si>
    <t xml:space="preserve">PAS withheld (average rate)</t>
  </si>
  <si>
    <t xml:space="preserve">Headcount 31-Dec-25</t>
  </si>
  <si>
    <t xml:space="preserve">Research time (CIR share)</t>
  </si>
  <si>
    <t xml:space="preserve">Note</t>
  </si>
  <si>
    <t xml:space="preserve">RES</t>
  </si>
  <si>
    <t xml:space="preserve">RND</t>
  </si>
  <si>
    <t xml:space="preserve">MLE</t>
  </si>
  <si>
    <t xml:space="preserve">ENG</t>
  </si>
  <si>
    <t xml:space="preserve">LEAD</t>
  </si>
  <si>
    <t xml:space="preserve">PRD</t>
  </si>
  <si>
    <t xml:space="preserve">SOL</t>
  </si>
  <si>
    <t xml:space="preserve">COR</t>
  </si>
  <si>
    <t xml:space="preserve">CSM</t>
  </si>
  <si>
    <t xml:space="preserve">SALH</t>
  </si>
  <si>
    <t xml:space="preserve">SM</t>
  </si>
  <si>
    <t xml:space="preserve">AE</t>
  </si>
  <si>
    <t xml:space="preserve">SDR</t>
  </si>
  <si>
    <t xml:space="preserve">MKT</t>
  </si>
  <si>
    <t xml:space="preserve">EXE</t>
  </si>
  <si>
    <t xml:space="preserve">GA</t>
  </si>
  <si>
    <t xml:space="preserve">Research time shares come from the time records that support the CIR claim. Every band except sales development and finance sits above the monthly ceiling. Account executives also earn commission (People).</t>
  </si>
  <si>
    <t xml:space="preserve">Attrition a year, base: research and development</t>
  </si>
  <si>
    <t xml:space="preserve">Company history and the Paris market for the role (company assumption)</t>
  </si>
  <si>
    <t xml:space="preserve">Attrition a year, base: solutions, support and customer success</t>
  </si>
  <si>
    <t xml:space="preserve">Attrition a year, base: sales and marketing</t>
  </si>
  <si>
    <t xml:space="preserve">Attrition a year, base: general and administrative</t>
  </si>
  <si>
    <t xml:space="preserve">Equipment per new hire</t>
  </si>
  <si>
    <t xml:space="preserve">IT replacement cycle, capex per month</t>
  </si>
  <si>
    <t xml:space="preserve">Recruitment cost per hire (agency and job boards)</t>
  </si>
  <si>
    <t xml:space="preserve">Software and IT tools per person per month</t>
  </si>
  <si>
    <t xml:space="preserve">Sales commission on each annual commitment signed (new and renewal)</t>
  </si>
  <si>
    <t xml:space="preserve">Commission plan FY2026 (fictional), paid with the next payroll. Expensed: IFRS 15.94 practical expedient (amortisation period one year or less; renewal commissions equal new ones)</t>
  </si>
  <si>
    <t xml:space="preserve">REVENUE: PRICES, DEVELOPER CREDITS, TEAM PLANS AND ENTERPRISE COMMITMENTS</t>
  </si>
  <si>
    <t xml:space="preserve">List price per 1,000 pages: Document AI (FY2025)</t>
  </si>
  <si>
    <t xml:space="preserve">Price list 2025 (fictional)</t>
  </si>
  <si>
    <t xml:space="preserve">List price per 1,000 audio minutes: Voice AI (FY2025)</t>
  </si>
  <si>
    <t xml:space="preserve">List price per 1,000 agent actions: Agent workspace (FY2025)</t>
  </si>
  <si>
    <t xml:space="preserve">List price per 1,000 pages: Document AI (from 1-Jan-26)</t>
  </si>
  <si>
    <t xml:space="preserve">Price list 2026 (fictional): 8% below 2025 on every product</t>
  </si>
  <si>
    <t xml:space="preserve">List price per 1,000 audio minutes: Voice AI (from 1-Jan-26)</t>
  </si>
  <si>
    <t xml:space="preserve">List price per 1,000 agent actions: Agent workspace (from 1-Jan-26)</t>
  </si>
  <si>
    <t xml:space="preserve">Developer credits: expected breakage (share of credits never used)</t>
  </si>
  <si>
    <t xml:space="preserve">History: the 2024 packs expired with 12.2% unused. Recognised in proportion to the credits used (IFRS 15.B46); the difference to actual expiry is trued up when each pack expires after 12 months</t>
  </si>
  <si>
    <t xml:space="preserve">Developer credits: share of a pack used by month of age</t>
  </si>
  <si>
    <t xml:space="preserve">Age 0</t>
  </si>
  <si>
    <t xml:space="preserve">Age 1</t>
  </si>
  <si>
    <t xml:space="preserve">Age 2</t>
  </si>
  <si>
    <t xml:space="preserve">Age 3</t>
  </si>
  <si>
    <t xml:space="preserve">Age 4</t>
  </si>
  <si>
    <t xml:space="preserve">Age 5</t>
  </si>
  <si>
    <t xml:space="preserve">Age 6</t>
  </si>
  <si>
    <t xml:space="preserve">Share of the pack used in the month (ages 0 to 6)</t>
  </si>
  <si>
    <t xml:space="preserve">Age 7</t>
  </si>
  <si>
    <t xml:space="preserve">Age 8</t>
  </si>
  <si>
    <t xml:space="preserve">Age 9</t>
  </si>
  <si>
    <t xml:space="preserve">Age 10</t>
  </si>
  <si>
    <t xml:space="preserve">Age 11</t>
  </si>
  <si>
    <t xml:space="preserve">Share of the pack used in the month (ages 7 to 11; unused credits expire at 12 months)</t>
  </si>
  <si>
    <t xml:space="preserve">Share of a pack used before expiry (1 - breakage)</t>
  </si>
  <si>
    <t xml:space="preserve">Developer credits used on Document AI</t>
  </si>
  <si>
    <t xml:space="preserve">Metering system, FY2026 year to date</t>
  </si>
  <si>
    <t xml:space="preserve">Developer credits used on Voice AI</t>
  </si>
  <si>
    <t xml:space="preserve">Developer credits used on Agent workspace</t>
  </si>
  <si>
    <t xml:space="preserve">Developer credit purchases: run-rate before seasonality at Aug-26</t>
  </si>
  <si>
    <t xml:space="preserve">FY2026 purchases grew 3.4% a month on average; forecast growth is a scenario driver</t>
  </si>
  <si>
    <t xml:space="preserve">Developer credits: average pack</t>
  </si>
  <si>
    <t xml:space="preserve">Team: new customers a month before seasonality</t>
  </si>
  <si>
    <t xml:space="preserve">customers</t>
  </si>
  <si>
    <t xml:space="preserve">FY2026 year to date (14.5 a month on the seasonal pattern)</t>
  </si>
  <si>
    <t xml:space="preserve">Team: customers lost a month (share of opening)</t>
  </si>
  <si>
    <t xml:space="preserve">FY2026 year to date 2.4% (2025: 2.3%)</t>
  </si>
  <si>
    <t xml:space="preserve">Team: plan fee per customer, growth a month (upgrades)</t>
  </si>
  <si>
    <t xml:space="preserve">FY2026 year to date</t>
  </si>
  <si>
    <t xml:space="preserve">Team: share of the plan fee used as included usage (at list prices)</t>
  </si>
  <si>
    <t xml:space="preserve">Unused allowance lapses each month; revenue is the plan fee</t>
  </si>
  <si>
    <t xml:space="preserve">Team usage on Document AI</t>
  </si>
  <si>
    <t xml:space="preserve">Team usage on Voice AI</t>
  </si>
  <si>
    <t xml:space="preserve">Team usage on Agent workspace</t>
  </si>
  <si>
    <t xml:space="preserve">Enterprise: renewal probability of accounts won in 2026 and pipeline wins (first renewal)</t>
  </si>
  <si>
    <t xml:space="preserve">probability</t>
  </si>
  <si>
    <t xml:space="preserve">Enterprise: days from invoice to cash</t>
  </si>
  <si>
    <t xml:space="preserve">FY2026 experience across 45 and 60-day terms (accounts pay in their month-end runs)</t>
  </si>
  <si>
    <t xml:space="preserve">Disputed invoice: Tervane Assurances May usage above the commitment (incl. VAT)</t>
  </si>
  <si>
    <t xml:space="preserve">See AR_Aging; open since June</t>
  </si>
  <si>
    <t xml:space="preserve">Disputed invoice excluding VAT</t>
  </si>
  <si>
    <t xml:space="preserve">Credit expected at Aug-26 (refund liability, IFRS 15.55)</t>
  </si>
  <si>
    <t xml:space="preserve">Engineering estimate of the calls retried during the 28 April incident</t>
  </si>
  <si>
    <t xml:space="preserve">COMPUTE: GPUs, MODEL APIs AND CLOUD (Provider A and vendor B bill in USD, vendor C in EUR)</t>
  </si>
  <si>
    <t xml:space="preserve">GPU hours per 1,000 pages at FY2025 efficiency: Document AI</t>
  </si>
  <si>
    <t xml:space="preserve">hours</t>
  </si>
  <si>
    <t xml:space="preserve">Metering system, FY2025 average</t>
  </si>
  <si>
    <t xml:space="preserve">GPU hours per 1,000 audio minutes at FY2025 efficiency: Voice AI</t>
  </si>
  <si>
    <t xml:space="preserve">GPU hours per 1,000 agent actions at FY2025 efficiency: Agent workspace</t>
  </si>
  <si>
    <t xml:space="preserve">Model tokens per 1,000 pages (millions): Document AI</t>
  </si>
  <si>
    <t xml:space="preserve">m tokens</t>
  </si>
  <si>
    <t xml:space="preserve">Document AI runs on vendor C models; voice and agents on vendor B models</t>
  </si>
  <si>
    <t xml:space="preserve">Model tokens per 1,000 audio minutes (millions): Voice AI</t>
  </si>
  <si>
    <t xml:space="preserve">Model tokens per 1,000 agent actions (millions): Agent workspace</t>
  </si>
  <si>
    <t xml:space="preserve">Model API vendor B: price per million tokens to Sep-26</t>
  </si>
  <si>
    <t xml:space="preserve">USD</t>
  </si>
  <si>
    <t xml:space="preserve">Vendor B price list; its announced price for Q4 is a scenario driver</t>
  </si>
  <si>
    <t xml:space="preserve">Model API vendor C: price per million tokens</t>
  </si>
  <si>
    <t xml:space="preserve">EU vendor, reverse charge</t>
  </si>
  <si>
    <t xml:space="preserve">Hosting, storage and network: fixed a month</t>
  </si>
  <si>
    <t xml:space="preserve">Provider A invoices (fictional)</t>
  </si>
  <si>
    <t xml:space="preserve">Hosting, storage and network per 1,000 pages: Document AI</t>
  </si>
  <si>
    <t xml:space="preserve">Hosting, storage and network per 1,000 audio minutes: Voice AI</t>
  </si>
  <si>
    <t xml:space="preserve">Hosting, storage and network per 1,000 agent actions: Agent workspace</t>
  </si>
  <si>
    <t xml:space="preserve">Reserved GPU: price per GPU hour</t>
  </si>
  <si>
    <t xml:space="preserve">One-year reservation with Provider A, billed monthly for every hour</t>
  </si>
  <si>
    <t xml:space="preserve">On-demand GPU: price per GPU hour</t>
  </si>
  <si>
    <t xml:space="preserve">Provider A list price, used when inference exceeds the usable reserved capacity</t>
  </si>
  <si>
    <t xml:space="preserve">Usable share of reserved GPU hours for inference (headroom for peaks)</t>
  </si>
  <si>
    <t xml:space="preserve">Reserved GPUs 2026</t>
  </si>
  <si>
    <t xml:space="preserve">GPUs</t>
  </si>
  <si>
    <t xml:space="preserve">12 in 2025</t>
  </si>
  <si>
    <t xml:space="preserve">Research: GPU hours a month wanted for training and experiments</t>
  </si>
  <si>
    <t xml:space="preserve">Scheduled in reserved capacity that inference does not need; charged to research and development</t>
  </si>
  <si>
    <t xml:space="preserve">Provider A spend commitment 2025</t>
  </si>
  <si>
    <t xml:space="preserve">Met: spend USD 533.7k (History)</t>
  </si>
  <si>
    <t xml:space="preserve">Provider A spend commitment 2026 (calendar year; reserved GPUs, on-demand GPUs and hosting count)</t>
  </si>
  <si>
    <t xml:space="preserve">Signed Nov-25 (fictional). A shortfall is invoiced in December and paid in January</t>
  </si>
  <si>
    <t xml:space="preserve">OVERHEADS (EUR a month ex VAT, FY2026 level; forecast grows with the overhead inflation from FY2027)</t>
  </si>
  <si>
    <t xml:space="preserve">Paid media and content a month</t>
  </si>
  <si>
    <t xml:space="preserve">x1.15 in March and October, x0.8 in August</t>
  </si>
  <si>
    <t xml:space="preserve">Events and conferences a month</t>
  </si>
  <si>
    <t xml:space="preserve">x2.5 in June (Paris AI trade show)</t>
  </si>
  <si>
    <t xml:space="preserve">Office rent a month (Paris; paid quarterly in advance)</t>
  </si>
  <si>
    <t xml:space="preserve">Commercial lease (bail commercial) to Dec-30 (fictional)</t>
  </si>
  <si>
    <t xml:space="preserve">Legal, statutory audit and accounting a month</t>
  </si>
  <si>
    <t xml:space="preserve">Statutory auditor fee billed in March (x2.2)</t>
  </si>
  <si>
    <t xml:space="preserve">Insurance a month (no VAT)</t>
  </si>
  <si>
    <t xml:space="preserve">Direct debit</t>
  </si>
  <si>
    <t xml:space="preserve">Travel a month (VAT not recovered)</t>
  </si>
  <si>
    <t xml:space="preserve">Passenger transport and staff accommodation are excluded from VAT deduction</t>
  </si>
  <si>
    <t xml:space="preserve">Recruitment: fixed a month (job boards)</t>
  </si>
  <si>
    <t xml:space="preserve">Overhead inflation applied from FY2027</t>
  </si>
  <si>
    <t xml:space="preserve">Interest earned on cash (term deposits)</t>
  </si>
  <si>
    <t xml:space="preserve">Treasury placements (fictional); paid monthly</t>
  </si>
  <si>
    <t xml:space="preserve">Card processing: rate on charges incl. VAT</t>
  </si>
  <si>
    <t xml:space="preserve">Company analysis of the payment processor statements (card mix)</t>
  </si>
  <si>
    <t xml:space="preserve">Card processing: fee per charge</t>
  </si>
  <si>
    <t xml:space="preserve">SCENARIO DRIVERS  (C = Base, D = Downside, E = Upside, F = selected, G = YTD actual reference)</t>
  </si>
  <si>
    <t xml:space="preserve">Driver</t>
  </si>
  <si>
    <t xml:space="preserve">Selected</t>
  </si>
  <si>
    <t xml:space="preserve">Developer credit purchases: growth a month</t>
  </si>
  <si>
    <t xml:space="preserve">FY2026 year to date 3.4% a month</t>
  </si>
  <si>
    <t xml:space="preserve">Team: new customers (x run-rate)</t>
  </si>
  <si>
    <t xml:space="preserve">x</t>
  </si>
  <si>
    <t xml:space="preserve">Team: customers lost (x YTD rate)</t>
  </si>
  <si>
    <t xml:space="preserve">Team: usage above the allowance (share of plan fees)</t>
  </si>
  <si>
    <t xml:space="preserve">Enterprise: usage growth (x account rates on the Account_Register)</t>
  </si>
  <si>
    <t xml:space="preserve">Renewal and win probabilities by account and scenario sit on the Account_Register</t>
  </si>
  <si>
    <t xml:space="preserve">Enterprise: commitment uplift at renewal</t>
  </si>
  <si>
    <t xml:space="preserve">New commitment = higher of prior x (1 + uplift) and 95% of the usage in the year ending</t>
  </si>
  <si>
    <t xml:space="preserve">Enterprise pipeline: start delay</t>
  </si>
  <si>
    <t xml:space="preserve">months</t>
  </si>
  <si>
    <t xml:space="preserve">List price cut on 1 January 2027 (customers keep their budget: units rise)</t>
  </si>
  <si>
    <t xml:space="preserve">Assumption: customers spend the same budget, so a cut buys more units and raises the cost to serve</t>
  </si>
  <si>
    <t xml:space="preserve">Model API vendor B: price per million tokens from Oct-26</t>
  </si>
  <si>
    <t xml:space="preserve">Vendor B announced a Q4 price change; the level is uncertain</t>
  </si>
  <si>
    <t xml:space="preserve">GPU hours per unit: reduction a quarter from Q4-26</t>
  </si>
  <si>
    <t xml:space="preserve">FY2026 actual pace 2% a quarter (model optimisation and batching)</t>
  </si>
  <si>
    <t xml:space="preserve">Reserved GPUs 2027</t>
  </si>
  <si>
    <t xml:space="preserve">Decision needed by November for the 2027 reservation; 16 in 2026</t>
  </si>
  <si>
    <t xml:space="preserve">Provider A spend commitment 2027</t>
  </si>
  <si>
    <t xml:space="preserve">Sized with the 2027 reservation; any shortfall is invoiced in December 2027</t>
  </si>
  <si>
    <t xml:space="preserve">USD per EUR, forecast</t>
  </si>
  <si>
    <t xml:space="preserve">Base: ECB reference rate of 22-Sep-26</t>
  </si>
  <si>
    <t xml:space="preserve">CIR for FY2026: month refunded</t>
  </si>
  <si>
    <t xml:space="preserve">Claim filed with the FY2026 return in May 2027; the 2025 claim took two months</t>
  </si>
  <si>
    <t xml:space="preserve">Pay review January 2027</t>
  </si>
  <si>
    <t xml:space="preserve">Company assumption; information needed: the approved 2027 pay review</t>
  </si>
  <si>
    <t xml:space="preserve">Planned hires made (share of the hiring plan on People)</t>
  </si>
  <si>
    <t xml:space="preserve">Downside response: half the plan, the rest frozen</t>
  </si>
  <si>
    <t xml:space="preserve">Leavers replaced (share)</t>
  </si>
  <si>
    <t xml:space="preserve">Attrition (x base rates)</t>
  </si>
  <si>
    <t xml:space="preserve">Fewer people leave in a weak market</t>
  </si>
  <si>
    <t xml:space="preserve">Marketing programmes FY2027 (x FY2026 run-rate)</t>
  </si>
  <si>
    <t xml:space="preserve">Enterprise: extra days to collect</t>
  </si>
  <si>
    <t xml:space="preserve">Disputed Tervane invoice: share credited</t>
  </si>
  <si>
    <t xml:space="preserve">The rest is collected in the same month</t>
  </si>
  <si>
    <t xml:space="preserve">Disputed Tervane invoice: month settled</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</si>
  <si>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</si>
  <si>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</si>
  <si>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</si>
  <si>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</si>
  <si>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</si>
  <si>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</si>
  <si>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Pay and overhead inflation factor</t>
  </si>
  <si>
    <t xml:space="preserve">Overhead inflation factor</t>
  </si>
  <si>
    <t xml:space="preserve">Seasonality: new Team customers (index, 12-month average = 1)</t>
  </si>
  <si>
    <t xml:space="preserve">Seasonality: Developer credit purchases (square root of the Team index)</t>
  </si>
  <si>
    <t xml:space="preserve">Paid leave taken: share of the annual entitlement in the month</t>
  </si>
  <si>
    <t xml:space="preserve">List price index (1 in FY2026)</t>
  </si>
  <si>
    <t xml:space="preserve">USD per EUR (A: ECB monthly average; F: scenario driver)</t>
  </si>
  <si>
    <t xml:space="preserve">GPU hours per unit, index to FY2025 (A: metering; F: steps down each quarter)</t>
  </si>
  <si>
    <t xml:space="preserve">Model API vendor B price per million tokens (USD)</t>
  </si>
  <si>
    <t xml:space="preserve">Hours in the month</t>
  </si>
  <si>
    <t xml:space="preserve">Provider A commitment for the calendar year (USD)</t>
  </si>
  <si>
    <t xml:space="preserve">Monthly social security ceiling</t>
  </si>
  <si>
    <t xml:space="preserve">SMIC (monthly)</t>
  </si>
  <si>
    <t xml:space="preserve">CFE for the year</t>
  </si>
  <si>
    <t xml:space="preserve">CVAE for the year</t>
  </si>
  <si>
    <t xml:space="preserve">Commissions: employer URSSAF rate at the margin</t>
  </si>
  <si>
    <t xml:space="preserve">Account executives are paid above the ceiling and above 3 x SMIC: full rates, no RGDU</t>
  </si>
  <si>
    <t xml:space="preserve">Commissions: employer Agirc-Arrco rate at the margin (band 2)</t>
  </si>
  <si>
    <t xml:space="preserve">Commissions: employee URSSAF, CSG and CRDS at the margin</t>
  </si>
  <si>
    <t xml:space="preserve">Commissions: employee Agirc-Arrco at the margin</t>
  </si>
  <si>
    <t xml:space="preserve">CFE 2025 (for the 2026 instalment)</t>
  </si>
  <si>
    <t xml:space="preserve">INPUTS: ACTUAL MONTHS (FICTIONAL LEDGER, BILLING, METERING, PAYROLL AND BANK)</t>
  </si>
  <si>
    <t xml:space="preserve">Jan-26 to Aug-26 are fictional actuals entered as inputs. Forecast months are blank by design and are driven from Assumptions, History and the Account_Register.</t>
  </si>
  <si>
    <t xml:space="preserve">DEVELOPER CREDITS (billing and credit ledger)</t>
  </si>
  <si>
    <t xml:space="preserve">Credit packs purchased (ex VAT)</t>
  </si>
  <si>
    <t xml:space="preserve">billing system</t>
  </si>
  <si>
    <t xml:space="preserve">Credits used from packs bought in Jan-25</t>
  </si>
  <si>
    <t xml:space="preserve">credit ledger</t>
  </si>
  <si>
    <t xml:space="preserve">Credits used from packs bought in Feb-25</t>
  </si>
  <si>
    <t xml:space="preserve">Credits used from packs bought in Mar-25</t>
  </si>
  <si>
    <t xml:space="preserve">Credits used from packs bought in Apr-25</t>
  </si>
  <si>
    <t xml:space="preserve">Credits used from packs bought in May-25</t>
  </si>
  <si>
    <t xml:space="preserve">Credits used from packs bought in Jun-25</t>
  </si>
  <si>
    <t xml:space="preserve">Credits used from packs bought in Jul-25</t>
  </si>
  <si>
    <t xml:space="preserve">Credits used from packs bought in Aug-25</t>
  </si>
  <si>
    <t xml:space="preserve">Credits used from packs bought in Sep-25</t>
  </si>
  <si>
    <t xml:space="preserve">Credits used from packs bought in Oct-25</t>
  </si>
  <si>
    <t xml:space="preserve">Credits used from packs bought in Nov-25</t>
  </si>
  <si>
    <t xml:space="preserve">Credits used from packs bought in Dec-25</t>
  </si>
  <si>
    <t xml:space="preserve">Credits used from packs bought in Jan-26</t>
  </si>
  <si>
    <t xml:space="preserve">Credits used from packs bought in Feb-26</t>
  </si>
  <si>
    <t xml:space="preserve">Credits used from packs bought in Mar-26</t>
  </si>
  <si>
    <t xml:space="preserve">Credits used from packs bought in Apr-26</t>
  </si>
  <si>
    <t xml:space="preserve">Credits used from packs bought in May-26</t>
  </si>
  <si>
    <t xml:space="preserve">Credits used from packs bought in Jun-26</t>
  </si>
  <si>
    <t xml:space="preserve">Credits used from packs bought in Jul-26</t>
  </si>
  <si>
    <t xml:space="preserve">Credits used from packs bought in Aug-26</t>
  </si>
  <si>
    <t xml:space="preserve">TEAM (billing system)</t>
  </si>
  <si>
    <t xml:space="preserve">Customers at month end</t>
  </si>
  <si>
    <t xml:space="preserve">Plan fees</t>
  </si>
  <si>
    <t xml:space="preserve">Usage above the allowance</t>
  </si>
  <si>
    <t xml:space="preserve">ENTERPRISE: USAGE AND ANNUAL COMMITMENT BY ACCOUNT (metering and contracts)</t>
  </si>
  <si>
    <t xml:space="preserve">E01 Tervane Assurances: usage at contracted prices</t>
  </si>
  <si>
    <t xml:space="preserve">metering system</t>
  </si>
  <si>
    <t xml:space="preserve">E02 Draxholm Logistik: usage at contracted prices</t>
  </si>
  <si>
    <t xml:space="preserve">E03 Lunedo Banca: usage at contracted prices</t>
  </si>
  <si>
    <t xml:space="preserve">E04 Kellbrook Utilities: usage at contracted prices</t>
  </si>
  <si>
    <t xml:space="preserve">E05 Ambrelle Sante: usage at contracted prices</t>
  </si>
  <si>
    <t xml:space="preserve">E06 Veskari Telecom: usage at contracted prices</t>
  </si>
  <si>
    <t xml:space="preserve">E07 Oisterra Energia: usage at contracted prices</t>
  </si>
  <si>
    <t xml:space="preserve">E08 Pravenza Retail: usage at contracted prices</t>
  </si>
  <si>
    <t xml:space="preserve">E09 Solberre Mutuelle: usage at contracted prices</t>
  </si>
  <si>
    <t xml:space="preserve">E10 Ivarone Insurance: usage at contracted prices</t>
  </si>
  <si>
    <t xml:space="preserve">E11 Mercadel Foods: usage at contracted prices</t>
  </si>
  <si>
    <t xml:space="preserve">E12 Halvesta Travel: usage at contracted prices</t>
  </si>
  <si>
    <t xml:space="preserve">E13 Varnholm Freight: usage at contracted prices</t>
  </si>
  <si>
    <t xml:space="preserve">E14 Brevalle Logistique: usage at contracted prices</t>
  </si>
  <si>
    <t xml:space="preserve">E15 Maltessa Telecom: usage at contracted prices</t>
  </si>
  <si>
    <t xml:space="preserve">E01: annual commitment of the contract year</t>
  </si>
  <si>
    <t xml:space="preserve">contracts</t>
  </si>
  <si>
    <t xml:space="preserve">E02: annual commitment of the contract year</t>
  </si>
  <si>
    <t xml:space="preserve">E03: annual commitment of the contract year</t>
  </si>
  <si>
    <t xml:space="preserve">E04: annual commitment of the contract year</t>
  </si>
  <si>
    <t xml:space="preserve">E05: annual commitment of the contract year</t>
  </si>
  <si>
    <t xml:space="preserve">E06: annual commitment of the contract year</t>
  </si>
  <si>
    <t xml:space="preserve">E07: annual commitment of the contract year</t>
  </si>
  <si>
    <t xml:space="preserve">E08: annual commitment of the contract year</t>
  </si>
  <si>
    <t xml:space="preserve">E09: annual commitment of the contract year</t>
  </si>
  <si>
    <t xml:space="preserve">E10: annual commitment of the contract year</t>
  </si>
  <si>
    <t xml:space="preserve">E11: annual commitment of the contract year</t>
  </si>
  <si>
    <t xml:space="preserve">E12: annual commitment of the contract year</t>
  </si>
  <si>
    <t xml:space="preserve">E13: annual commitment of the contract year</t>
  </si>
  <si>
    <t xml:space="preserve">E14: annual commitment of the contract year</t>
  </si>
  <si>
    <t xml:space="preserve">E15: annual commitment of the contract year</t>
  </si>
  <si>
    <t xml:space="preserve">Refund liability for expected credit notes (month end)</t>
  </si>
  <si>
    <t xml:space="preserve">ledger</t>
  </si>
  <si>
    <t xml:space="preserve">USAGE AND COMPUTE (metering system and supplier invoices)</t>
  </si>
  <si>
    <t xml:space="preserve">Developer: units used, Document AI (thousands)</t>
  </si>
  <si>
    <t xml:space="preserve">Developer: units used, Voice AI (thousands)</t>
  </si>
  <si>
    <t xml:space="preserve">Developer: units used, Agent workspace (thousands)</t>
  </si>
  <si>
    <t xml:space="preserve">Team: units used, Document AI (thousands)</t>
  </si>
  <si>
    <t xml:space="preserve">Team: units used, Voice AI (thousands)</t>
  </si>
  <si>
    <t xml:space="preserve">Team: units used, Agent workspace (thousands)</t>
  </si>
  <si>
    <t xml:space="preserve">Enterprise: units used, Document AI (thousands)</t>
  </si>
  <si>
    <t xml:space="preserve">Enterprise: units used, Voice AI (thousands)</t>
  </si>
  <si>
    <t xml:space="preserve">Enterprise: units used, Agent workspace (thousands)</t>
  </si>
  <si>
    <t xml:space="preserve">GPU hours used for inference</t>
  </si>
  <si>
    <t xml:space="preserve">GPU scheduler</t>
  </si>
  <si>
    <t xml:space="preserve">GPU hours used for research</t>
  </si>
  <si>
    <t xml:space="preserve">Provider A invoice</t>
  </si>
  <si>
    <t xml:space="preserve">Provider A: reserved GPUs (USD)</t>
  </si>
  <si>
    <t xml:space="preserve">Provider A: on-demand GPUs (USD)</t>
  </si>
  <si>
    <t xml:space="preserve">Provider A: hosting, storage and network (USD)</t>
  </si>
  <si>
    <t xml:space="preserve">Model tokens, vendor B (millions)</t>
  </si>
  <si>
    <t xml:space="preserve">vendor B usage report</t>
  </si>
  <si>
    <t xml:space="preserve">Model API vendor B (USD)</t>
  </si>
  <si>
    <t xml:space="preserve">vendor B invoice</t>
  </si>
  <si>
    <t xml:space="preserve">Model tokens, vendor C (millions)</t>
  </si>
  <si>
    <t xml:space="preserve">vendor C usage report</t>
  </si>
  <si>
    <t xml:space="preserve">vendor C invoice</t>
  </si>
  <si>
    <t xml:space="preserve">Provider A 2026 commitment: expected shortfall at month end (USD)</t>
  </si>
  <si>
    <t xml:space="preserve">CFO estimate</t>
  </si>
  <si>
    <t xml:space="preserve">PAYROLL BY DEPARTMENT (payroll journal)</t>
  </si>
  <si>
    <t xml:space="preserve">payroll journal</t>
  </si>
  <si>
    <t xml:space="preserve">Research and development: employer URSSAF contributions, net of the RGDU</t>
  </si>
  <si>
    <t xml:space="preserve">Research and development: RGDU reduction (memo, inside the line above)</t>
  </si>
  <si>
    <t xml:space="preserve">Research and development: health, protection and transport schemes</t>
  </si>
  <si>
    <t xml:space="preserve">Research and development: employee URSSAF contributions, CSG and CRDS</t>
  </si>
  <si>
    <t xml:space="preserve">Research and development: income tax withheld at source (PAS)</t>
  </si>
  <si>
    <t xml:space="preserve">Research and development: net salaries paid</t>
  </si>
  <si>
    <t xml:space="preserve">Solutions, support and customer success: employer URSSAF contributions, net of the RGDU</t>
  </si>
  <si>
    <t xml:space="preserve">Solutions, support and customer success: RGDU reduction (memo, inside the line above)</t>
  </si>
  <si>
    <t xml:space="preserve">Solutions, support and customer success: health, protection and transport schemes</t>
  </si>
  <si>
    <t xml:space="preserve">Solutions, support and customer success: employee URSSAF contributions, CSG and CRDS</t>
  </si>
  <si>
    <t xml:space="preserve">Solutions, support and customer success: income tax withheld at source (PAS)</t>
  </si>
  <si>
    <t xml:space="preserve">Solutions, support and customer success: net salaries paid</t>
  </si>
  <si>
    <t xml:space="preserve">Sales and marketing: employer URSSAF contributions, net of the RGDU</t>
  </si>
  <si>
    <t xml:space="preserve">Sales and marketing: RGDU reduction (memo, inside the line above)</t>
  </si>
  <si>
    <t xml:space="preserve">Sales and marketing: health, protection and transport schemes</t>
  </si>
  <si>
    <t xml:space="preserve">Sales and marketing: employee URSSAF contributions, CSG and CRDS</t>
  </si>
  <si>
    <t xml:space="preserve">Sales and marketing: income tax withheld at source (PAS)</t>
  </si>
  <si>
    <t xml:space="preserve">Sales and marketing: net salaries paid</t>
  </si>
  <si>
    <t xml:space="preserve">General and administrative: employer URSSAF contributions, net of the RGDU</t>
  </si>
  <si>
    <t xml:space="preserve">General and administrative: RGDU reduction (memo, inside the line above)</t>
  </si>
  <si>
    <t xml:space="preserve">General and administrative: health, protection and transport schemes</t>
  </si>
  <si>
    <t xml:space="preserve">General and administrative: employee URSSAF contributions, CSG and CRDS</t>
  </si>
  <si>
    <t xml:space="preserve">General and administrative: income tax withheld at source (PAS)</t>
  </si>
  <si>
    <t xml:space="preserve">General and administrative: net salaries paid</t>
  </si>
  <si>
    <t xml:space="preserve">HEADCOUNT BY BAND AT MONTH END, PAID LEAVE, COMMISSIONS AND RESEARCH TIME</t>
  </si>
  <si>
    <t xml:space="preserve">Machine learning research scientists: headcount</t>
  </si>
  <si>
    <t xml:space="preserve">payroll</t>
  </si>
  <si>
    <t xml:space="preserve">Machine learning engineers: headcount</t>
  </si>
  <si>
    <t xml:space="preserve">Software engineers: headcount</t>
  </si>
  <si>
    <t xml:space="preserve">CTO and engineering leads: headcount</t>
  </si>
  <si>
    <t xml:space="preserve">Product managers and designers: headcount</t>
  </si>
  <si>
    <t xml:space="preserve">Solutions engineers and support: headcount</t>
  </si>
  <si>
    <t xml:space="preserve">Customer success managers: headcount</t>
  </si>
  <si>
    <t xml:space="preserve">Head of sales: headcount</t>
  </si>
  <si>
    <t xml:space="preserve">Account executives (base salary): headcount</t>
  </si>
  <si>
    <t xml:space="preserve">Sales development representatives: headcount</t>
  </si>
  <si>
    <t xml:space="preserve">Marketing: headcount</t>
  </si>
  <si>
    <t xml:space="preserve">Founders and executives (CEO, COO): headcount</t>
  </si>
  <si>
    <t xml:space="preserve">Finance, people and office: headcount</t>
  </si>
  <si>
    <t xml:space="preserve">Paid leave days taken</t>
  </si>
  <si>
    <t xml:space="preserve">HR system</t>
  </si>
  <si>
    <t xml:space="preserve">Sales commissions earned (gross)</t>
  </si>
  <si>
    <t xml:space="preserve">commission statements</t>
  </si>
  <si>
    <t xml:space="preserve">CIR-eligible personnel costs (time records: research share of salaries and employer contributions)</t>
  </si>
  <si>
    <t xml:space="preserve">time records</t>
  </si>
  <si>
    <t xml:space="preserve">OVERHEADS, CAPEX AND CARD PROCESSING</t>
  </si>
  <si>
    <t xml:space="preserve">asset register</t>
  </si>
  <si>
    <t xml:space="preserve">processor statements</t>
  </si>
  <si>
    <t xml:space="preserve">RECEIPTS (bank)</t>
  </si>
  <si>
    <t xml:space="preserve">Card payouts (Developer packs and Team plans, net of fees)</t>
  </si>
  <si>
    <t xml:space="preserve">bank</t>
  </si>
  <si>
    <t xml:space="preserve">Enterprise receipts: accounts in France (incl. VAT)</t>
  </si>
  <si>
    <t xml:space="preserve">Interest received on term deposits</t>
  </si>
  <si>
    <t xml:space="preserve">PAYMENTS (bank)</t>
  </si>
  <si>
    <t xml:space="preserve">Compute suppliers paid in USD (Provider A and vendor B), EUR debited</t>
  </si>
  <si>
    <t xml:space="preserve">Company card statements (software, media, travel)</t>
  </si>
  <si>
    <t xml:space="preserve">French suppliers incl. VAT and equipment</t>
  </si>
  <si>
    <t xml:space="preserve">Rent (quarterly in advance, incl. VAT)</t>
  </si>
  <si>
    <t xml:space="preserve">URSSAF (DSN, 5th)</t>
  </si>
  <si>
    <t xml:space="preserve">VAT return (CA3)</t>
  </si>
  <si>
    <t xml:space="preserve">OPENING BALANCE SHEET AT 31-DEC-25 (FY2025 accounts, fictional); Developer packs are on History, Enterprise accounts on the Account_Register</t>
  </si>
  <si>
    <t xml:space="preserve">FY25 accounts</t>
  </si>
  <si>
    <t xml:space="preserve">Contract assets (Enterprise usage ahead of billing)</t>
  </si>
  <si>
    <t xml:space="preserve">Research tax credit receivable (FY2025 claim)</t>
  </si>
  <si>
    <t xml:space="preserve">IT equipment: cost</t>
  </si>
  <si>
    <t xml:space="preserve">IT equipment: accumulated depreciation</t>
  </si>
  <si>
    <t xml:space="preserve">Office fit-out: cost</t>
  </si>
  <si>
    <t xml:space="preserve">Office fit-out: accumulated depreciation</t>
  </si>
  <si>
    <t xml:space="preserve">Trade payables: compute suppliers in USD (at the December rate)</t>
  </si>
  <si>
    <t xml:space="preserve">Trade payables: French suppliers (incl. VAT)</t>
  </si>
  <si>
    <t xml:space="preserve">VAT payable (December return)</t>
  </si>
  <si>
    <t xml:space="preserve">URSSAF payable (December payroll)</t>
  </si>
  <si>
    <t xml:space="preserve">Income tax withheld payable (December)</t>
  </si>
  <si>
    <t xml:space="preserve">Agirc-Arrco and schemes payable (December)</t>
  </si>
  <si>
    <t xml:space="preserve">Commissions payable (December)</t>
  </si>
  <si>
    <t xml:space="preserve">Local business taxes accrued (CVAE 2025 balance)</t>
  </si>
  <si>
    <t xml:space="preserve">Paid leave days outstanding at 31-Dec-25</t>
  </si>
  <si>
    <t xml:space="preserve">Compute supplier invoices of December in USD (paid in January)</t>
  </si>
  <si>
    <t xml:space="preserve">HISTORY: FY2025 BY MONTH, DEVELOPER CREDIT PACKS AND ENTERPRISE USAGE BY ACCOUNT (FICTIONAL LEDGER, METERING AND BILLING SYSTEMS)</t>
  </si>
  <si>
    <t xml:space="preserve">Inputs from before the model starts: they feed year-on-year growth, trailing twelve-month measures (Enterprise net revenue retention), the Developer credit cohorts still live at 31-Dec-25 and the unit cost trend.</t>
  </si>
  <si>
    <t xml:space="preserve">Key</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</si>
  <si>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</si>
  <si>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</si>
  <si>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</si>
  <si>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</si>
  <si>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</si>
  <si>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</si>
  <si>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</si>
  <si>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</si>
  <si>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</si>
  <si>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</si>
  <si>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</si>
  <si>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</si>
  <si>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FY2025</t>
  </si>
  <si>
    <t xml:space="preserve">REVENUE AND BILLING</t>
  </si>
  <si>
    <t xml:space="preserve">Developer credits purchased (ex VAT)</t>
  </si>
  <si>
    <t xml:space="preserve">dev_p</t>
  </si>
  <si>
    <t xml:space="preserve">Developer credits used (face value)</t>
  </si>
  <si>
    <t xml:space="preserve">dev_cons</t>
  </si>
  <si>
    <t xml:space="preserve">Developer revenue (credits used, breakage and true-ups)</t>
  </si>
  <si>
    <t xml:space="preserve">dev_rev</t>
  </si>
  <si>
    <t xml:space="preserve">dev_brk</t>
  </si>
  <si>
    <t xml:space="preserve">Team plan fees</t>
  </si>
  <si>
    <t xml:space="preserve">team_plan</t>
  </si>
  <si>
    <t xml:space="preserve">Team usage above the allowance</t>
  </si>
  <si>
    <t xml:space="preserve">team_ov</t>
  </si>
  <si>
    <t xml:space="preserve">Team customers at month end</t>
  </si>
  <si>
    <t xml:space="preserve">team_lg</t>
  </si>
  <si>
    <t xml:space="preserve">Team new customers</t>
  </si>
  <si>
    <t xml:space="preserve">team_new</t>
  </si>
  <si>
    <t xml:space="preserve">Team customers lost</t>
  </si>
  <si>
    <t xml:space="preserve">team_lost</t>
  </si>
  <si>
    <t xml:space="preserve">Enterprise usage (at contracted prices)</t>
  </si>
  <si>
    <t xml:space="preserve">ent_use</t>
  </si>
  <si>
    <t xml:space="preserve">Enterprise unused commitments recognised at contract year end</t>
  </si>
  <si>
    <t xml:space="preserve">ent_sf</t>
  </si>
  <si>
    <t xml:space="preserve">ent_rev</t>
  </si>
  <si>
    <t xml:space="preserve">Enterprise billing</t>
  </si>
  <si>
    <t xml:space="preserve">ent_bill</t>
  </si>
  <si>
    <t xml:space="preserve">rev</t>
  </si>
  <si>
    <t xml:space="preserve">USAGE AND COMPUTE</t>
  </si>
  <si>
    <t xml:space="preserve">Units used: Document AI (thousands of pages)</t>
  </si>
  <si>
    <t xml:space="preserve">u_DOC</t>
  </si>
  <si>
    <t xml:space="preserve">Units used: Voice AI (thousands of audio minutes)</t>
  </si>
  <si>
    <t xml:space="preserve">u_VOX</t>
  </si>
  <si>
    <t xml:space="preserve">Units used: Agent workspace (thousands of agent actions)</t>
  </si>
  <si>
    <t xml:space="preserve">u_AGT</t>
  </si>
  <si>
    <t xml:space="preserve">GPU hours: inference</t>
  </si>
  <si>
    <t xml:space="preserve">gh</t>
  </si>
  <si>
    <t xml:space="preserve">GPU hours: research</t>
  </si>
  <si>
    <t xml:space="preserve">rsh</t>
  </si>
  <si>
    <t xml:space="preserve">GPU hours: reserved capacity</t>
  </si>
  <si>
    <t xml:space="preserve">cap</t>
  </si>
  <si>
    <t xml:space="preserve">GPU hours: on-demand</t>
  </si>
  <si>
    <t xml:space="preserve">odh</t>
  </si>
  <si>
    <t xml:space="preserve">tokB</t>
  </si>
  <si>
    <t xml:space="preserve">tokC</t>
  </si>
  <si>
    <t xml:space="preserve">USD per EUR (ECB monthly average)</t>
  </si>
  <si>
    <t xml:space="preserve">fx</t>
  </si>
  <si>
    <t xml:space="preserve">Reserved GPUs used for inference (incl. idle), EUR</t>
  </si>
  <si>
    <t xml:space="preserve">c_res_inf</t>
  </si>
  <si>
    <t xml:space="preserve">Reserved GPUs used for research, EUR</t>
  </si>
  <si>
    <t xml:space="preserve">c_res_rd</t>
  </si>
  <si>
    <t xml:space="preserve">On-demand GPUs, EUR</t>
  </si>
  <si>
    <t xml:space="preserve">c_od</t>
  </si>
  <si>
    <t xml:space="preserve">Model API vendor B, EUR</t>
  </si>
  <si>
    <t xml:space="preserve">c_apib</t>
  </si>
  <si>
    <t xml:space="preserve">Model API vendor C, EUR</t>
  </si>
  <si>
    <t xml:space="preserve">c_apic</t>
  </si>
  <si>
    <t xml:space="preserve">Hosting, storage and network, EUR</t>
  </si>
  <si>
    <t xml:space="preserve">c_cloud</t>
  </si>
  <si>
    <t xml:space="preserve">Provider A spend (USD, counts towards the commitment)</t>
  </si>
  <si>
    <t xml:space="preserve">provA_usd</t>
  </si>
  <si>
    <t xml:space="preserve">PROFIT, CASH AND PEOPLE</t>
  </si>
  <si>
    <t xml:space="preserve">card</t>
  </si>
  <si>
    <t xml:space="preserve">Payroll cost: research and development</t>
  </si>
  <si>
    <t xml:space="preserve">pay_RND</t>
  </si>
  <si>
    <t xml:space="preserve">Payroll cost: solutions, support and customer success</t>
  </si>
  <si>
    <t xml:space="preserve">pay_COR</t>
  </si>
  <si>
    <t xml:space="preserve">Payroll cost: sales and marketing</t>
  </si>
  <si>
    <t xml:space="preserve">pay_SM</t>
  </si>
  <si>
    <t xml:space="preserve">Payroll cost: general and administrative</t>
  </si>
  <si>
    <t xml:space="preserve">pay_GA</t>
  </si>
  <si>
    <t xml:space="preserve">Sales commissions incl. employer contributions</t>
  </si>
  <si>
    <t xml:space="preserve">comm</t>
  </si>
  <si>
    <t xml:space="preserve">ox</t>
  </si>
  <si>
    <t xml:space="preserve">Research tax credit (CIR) accrued</t>
  </si>
  <si>
    <t xml:space="preserve">cir</t>
  </si>
  <si>
    <t xml:space="preserve">Cost of revenue</t>
  </si>
  <si>
    <t xml:space="preserve">cor</t>
  </si>
  <si>
    <t xml:space="preserve">Gross profit</t>
  </si>
  <si>
    <t xml:space="preserve">gp</t>
  </si>
  <si>
    <t xml:space="preserve">ebitda</t>
  </si>
  <si>
    <t xml:space="preserve">Net cash flow before financing</t>
  </si>
  <si>
    <t xml:space="preserve">burn</t>
  </si>
  <si>
    <t xml:space="preserve">Headcount (average in the month)</t>
  </si>
  <si>
    <t xml:space="preserve">hc</t>
  </si>
  <si>
    <t xml:space="preserve">ENTERPRISE USAGE BY ACCOUNT (EUR at contracted prices; order as on the Account_Register)</t>
  </si>
  <si>
    <t xml:space="preserve">use|E01</t>
  </si>
  <si>
    <t xml:space="preserve">use|E02</t>
  </si>
  <si>
    <t xml:space="preserve">use|E03</t>
  </si>
  <si>
    <t xml:space="preserve">use|E04</t>
  </si>
  <si>
    <t xml:space="preserve">use|E05</t>
  </si>
  <si>
    <t xml:space="preserve">use|E06</t>
  </si>
  <si>
    <t xml:space="preserve">use|E07</t>
  </si>
  <si>
    <t xml:space="preserve">use|E08</t>
  </si>
  <si>
    <t xml:space="preserve">use|E09</t>
  </si>
  <si>
    <t xml:space="preserve">use|E10</t>
  </si>
  <si>
    <t xml:space="preserve">use|E11</t>
  </si>
  <si>
    <t xml:space="preserve">use|E12</t>
  </si>
  <si>
    <t xml:space="preserve">use|E13</t>
  </si>
  <si>
    <t xml:space="preserve">use|E14</t>
  </si>
  <si>
    <t xml:space="preserve">use|E15</t>
  </si>
  <si>
    <t xml:space="preserve">ENTERPRISE REVENUE BY ACCOUNT</t>
  </si>
  <si>
    <t xml:space="preserve">rev|E01</t>
  </si>
  <si>
    <t xml:space="preserve">rev|E02</t>
  </si>
  <si>
    <t xml:space="preserve">rev|E03</t>
  </si>
  <si>
    <t xml:space="preserve">rev|E04</t>
  </si>
  <si>
    <t xml:space="preserve">rev|E05</t>
  </si>
  <si>
    <t xml:space="preserve">rev|E06</t>
  </si>
  <si>
    <t xml:space="preserve">rev|E07</t>
  </si>
  <si>
    <t xml:space="preserve">rev|E08</t>
  </si>
  <si>
    <t xml:space="preserve">rev|E09</t>
  </si>
  <si>
    <t xml:space="preserve">rev|E10</t>
  </si>
  <si>
    <t xml:space="preserve">rev|E11</t>
  </si>
  <si>
    <t xml:space="preserve">rev|E12</t>
  </si>
  <si>
    <t xml:space="preserve">rev|E13</t>
  </si>
  <si>
    <t xml:space="preserve">rev|E14</t>
  </si>
  <si>
    <t xml:space="preserve">rev|E15</t>
  </si>
  <si>
    <t xml:space="preserve">DEVELOPER CREDIT PACKS: 2025 PACKS LIVE AT 31-DEC-25 AND 2024 PACKS EXPIRED IN 2025</t>
  </si>
  <si>
    <t xml:space="preserve">Purchase month</t>
  </si>
  <si>
    <t xml:space="preserve">Cohort no.</t>
  </si>
  <si>
    <t xml:space="preserve">Purchased (ex VAT)</t>
  </si>
  <si>
    <t xml:space="preserve">Used to 31-Dec-25 (2025 packs) or before expiry (2024 packs)</t>
  </si>
  <si>
    <t xml:space="preserve">Expired unused</t>
  </si>
  <si>
    <t xml:space="preserve">Share expired</t>
  </si>
  <si>
    <t xml:space="preserve">Jan-24</t>
  </si>
  <si>
    <t xml:space="preserve">Feb-24</t>
  </si>
  <si>
    <t xml:space="preserve">Mar-24</t>
  </si>
  <si>
    <t xml:space="preserve">Apr-24</t>
  </si>
  <si>
    <t xml:space="preserve">May-24</t>
  </si>
  <si>
    <t xml:space="preserve">Jun-24</t>
  </si>
  <si>
    <t xml:space="preserve">Jul-24</t>
  </si>
  <si>
    <t xml:space="preserve">Aug-24</t>
  </si>
  <si>
    <t xml:space="preserve">Sep-24</t>
  </si>
  <si>
    <t xml:space="preserve">Oct-24</t>
  </si>
  <si>
    <t xml:space="preserve">Nov-24</t>
  </si>
  <si>
    <t xml:space="preserve">Dec-24</t>
  </si>
  <si>
    <t xml:space="preserve">2024 packs: share expired unused</t>
  </si>
  <si>
    <t xml:space="preserve">ORIGINAL FY2026 BUDGET (APPROVED DEC-25, FICTIONAL)</t>
  </si>
  <si>
    <t xml:space="preserve">Twelve budget months built from the Dec-25 books. Cost lines, revenue lines and drivers are inputs as approved; totals are calculated. Never overwritten.</t>
  </si>
  <si>
    <t xml:space="preserve">budget input</t>
  </si>
  <si>
    <t xml:space="preserve">COST OF REVENUE (costs negative)</t>
  </si>
  <si>
    <t xml:space="preserve">OPERATING EXPENSES AND OTHER INCOME</t>
  </si>
  <si>
    <t xml:space="preserve">Corporate income tax (nil: tax losses)</t>
  </si>
  <si>
    <t xml:space="preserve">DRIVERS, BALANCES AND HEADCOUNT</t>
  </si>
  <si>
    <t xml:space="preserve">Developer credits used</t>
  </si>
  <si>
    <t xml:space="preserve">Developer true-ups at expiry (revenue less credits used grossed up)</t>
  </si>
  <si>
    <t xml:space="preserve">budget</t>
  </si>
  <si>
    <t xml:space="preserve">Team customers lost a month, share of opening</t>
  </si>
  <si>
    <t xml:space="preserve">Team plan fee per customer</t>
  </si>
  <si>
    <t xml:space="preserve">Enterprise: Pravenza Retail (renewal assumed)</t>
  </si>
  <si>
    <t xml:space="preserve">Enterprise: four new accounts</t>
  </si>
  <si>
    <t xml:space="preserve">Enterprise: other accounts</t>
  </si>
  <si>
    <t xml:space="preserve">budget balance</t>
  </si>
  <si>
    <t xml:space="preserve">Contract liability: Developer credits</t>
  </si>
  <si>
    <t xml:space="preserve">Hires</t>
  </si>
  <si>
    <t xml:space="preserve">USD per EUR (budget rate)</t>
  </si>
  <si>
    <t xml:space="preserve">Budget basis (Dec-25): Developer purchases +2.5% a month; Team 18 new customers a month and 2.2% lost; usage above the allowance 20% of plan fees; every Enterprise account renews (including Pravenza Retail) and four new accounts from March; vendor B at USD 1.60 per million tokens from April; USD per EUR 1.10; GPU hours per unit down 4% a quarter; 16 hires and no leavers.</t>
  </si>
</sst>
</file>

<file path=xl/styles.xml><?xml version="1.0" encoding="utf-8"?>
<styleSheet xmlns="http://schemas.openxmlformats.org/spreadsheetml/2006/main">
  <numFmts count="16">
    <numFmt numFmtId="164" formatCode="General"/>
    <numFmt numFmtId="165" formatCode="mmm\-yy"/>
    <numFmt numFmtId="166" formatCode="@"/>
    <numFmt numFmtId="167" formatCode="#,##0;\(#,##0\);\-"/>
    <numFmt numFmtId="168" formatCode="0.0%;\(0.0%\);\-"/>
    <numFmt numFmtId="169" formatCode="0.0####"/>
    <numFmt numFmtId="170" formatCode="#,##0.00;\(#,##0.00\);\-"/>
    <numFmt numFmtId="171" formatCode="General"/>
    <numFmt numFmtId="172" formatCode="dd\-mmm\-yy"/>
    <numFmt numFmtId="173" formatCode="0"/>
    <numFmt numFmtId="174" formatCode="0.0;\(0.0\);\-"/>
    <numFmt numFmtId="175" formatCode="0%"/>
    <numFmt numFmtId="176" formatCode="0.0000"/>
    <numFmt numFmtId="177" formatCode="0.00"/>
    <numFmt numFmtId="178" formatCode="0.000"/>
    <numFmt numFmtId="179" formatCode="0.00%;\(0.00%\);\-"/>
  </numFmts>
  <fonts count="36">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32330"/>
      <name val="Arial"/>
      <family val="0"/>
      <charset val="1"/>
    </font>
    <font>
      <sz val="8"/>
      <color rgb="FF888888"/>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8"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8"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1"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2"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3" fontId="28" fillId="0" borderId="0" xfId="0" applyFont="true" applyBorder="false" applyAlignment="true" applyProtection="false">
      <alignment horizontal="center"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30" fillId="4" borderId="2"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22" fillId="6" borderId="0" xfId="0" applyFont="true" applyBorder="false" applyAlignment="false" applyProtection="false">
      <alignment horizontal="general" vertical="bottom" textRotation="0" wrapText="false" indent="0" shrinkToFit="false"/>
      <protection locked="true" hidden="false"/>
    </xf>
    <xf numFmtId="174" fontId="22" fillId="6"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73" fontId="22" fillId="6"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0" fontId="22" fillId="6"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74" fontId="22" fillId="4" borderId="2" xfId="0" applyFont="true" applyBorder="tru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8" fontId="22" fillId="4" borderId="2" xfId="0" applyFont="tru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top" textRotation="0" wrapText="tru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0" fillId="0" borderId="0" xfId="0" applyFont="tru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8" fontId="30" fillId="0"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0" fillId="0" borderId="0" xfId="0" applyFont="true" applyBorder="false" applyAlignment="false" applyProtection="false">
      <alignment horizontal="general" vertical="bottom" textRotation="0" wrapText="false" indent="0" shrinkToFit="false"/>
      <protection locked="true" hidden="false"/>
    </xf>
    <xf numFmtId="174" fontId="0" fillId="7" borderId="0" xfId="0" applyFont="false" applyBorder="false" applyAlignment="false" applyProtection="false">
      <alignment horizontal="general" vertical="bottom" textRotation="0" wrapText="false" indent="0" shrinkToFit="false"/>
      <protection locked="true" hidden="false"/>
    </xf>
    <xf numFmtId="174" fontId="30"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77" fontId="30" fillId="0" borderId="0" xfId="0" applyFont="true" applyBorder="false" applyAlignment="false" applyProtection="false">
      <alignment horizontal="general" vertical="bottom" textRotation="0" wrapText="false" indent="0" shrinkToFit="false"/>
      <protection locked="true" hidden="false"/>
    </xf>
    <xf numFmtId="173" fontId="30" fillId="0" borderId="0" xfId="0" applyFont="true" applyBorder="false" applyAlignment="false" applyProtection="false">
      <alignment horizontal="general" vertical="bottom" textRotation="0" wrapText="false" indent="0" shrinkToFit="false"/>
      <protection locked="true" hidden="false"/>
    </xf>
    <xf numFmtId="170" fontId="30" fillId="0"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76" fontId="30"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8" fontId="35"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2" fontId="22" fillId="0"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9" fontId="22" fillId="6" borderId="0" xfId="0" applyFont="true" applyBorder="false" applyAlignment="false" applyProtection="false">
      <alignment horizontal="general" vertical="bottom" textRotation="0" wrapText="false" indent="0" shrinkToFit="false"/>
      <protection locked="true" hidden="false"/>
    </xf>
    <xf numFmtId="179" fontId="16" fillId="0"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76" fontId="22" fillId="6" borderId="0" xfId="0" applyFont="true" applyBorder="false" applyAlignment="false" applyProtection="false">
      <alignment horizontal="general" vertical="bottom" textRotation="0" wrapText="false" indent="0" shrinkToFit="false"/>
      <protection locked="true" hidden="false"/>
    </xf>
    <xf numFmtId="172" fontId="30" fillId="0" borderId="0" xfId="0" applyFont="true" applyBorder="false" applyAlignment="false" applyProtection="false">
      <alignment horizontal="general" vertical="bottom" textRotation="0" wrapText="false" indent="0" shrinkToFit="false"/>
      <protection locked="true" hidden="false"/>
    </xf>
    <xf numFmtId="172" fontId="15" fillId="3"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8" fontId="15" fillId="3" borderId="0" xfId="0" applyFont="true" applyBorder="false" applyAlignment="false" applyProtection="false">
      <alignment horizontal="general" vertical="bottom" textRotation="0" wrapText="false" indent="0" shrinkToFit="false"/>
      <protection locked="true" hidden="false"/>
    </xf>
    <xf numFmtId="173" fontId="15" fillId="3"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78" fontId="16" fillId="0"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true" applyProtection="false">
      <alignment horizontal="general" vertical="top" textRotation="0" wrapText="true" indent="0" shrinkToFit="false"/>
      <protection locked="true" hidden="false"/>
    </xf>
    <xf numFmtId="168" fontId="22" fillId="4" borderId="0" xfId="0" applyFont="true" applyBorder="false" applyAlignment="false" applyProtection="false">
      <alignment horizontal="general" vertical="bottom" textRotation="0" wrapText="false" indent="0" shrinkToFit="false"/>
      <protection locked="true" hidden="false"/>
    </xf>
    <xf numFmtId="173"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79" fontId="15" fillId="3" borderId="0" xfId="0" applyFont="true" applyBorder="false" applyAlignment="false" applyProtection="false">
      <alignment horizontal="general" vertical="bottom" textRotation="0" wrapText="false" indent="0" shrinkToFit="false"/>
      <protection locked="true" hidden="false"/>
    </xf>
    <xf numFmtId="176" fontId="15" fillId="3" borderId="0" xfId="0" applyFont="true" applyBorder="false" applyAlignment="false" applyProtection="false">
      <alignment horizontal="general" vertical="bottom" textRotation="0" wrapText="false" indent="0" shrinkToFit="false"/>
      <protection locked="true" hidden="false"/>
    </xf>
    <xf numFmtId="177" fontId="15" fillId="3" borderId="0" xfId="0" applyFont="true" applyBorder="false" applyAlignment="false" applyProtection="false">
      <alignment horizontal="general" vertical="bottom" textRotation="0" wrapText="false" indent="0" shrinkToFit="false"/>
      <protection locked="true" hidden="false"/>
    </xf>
    <xf numFmtId="170" fontId="15" fillId="3" borderId="0" xfId="0" applyFont="true" applyBorder="false" applyAlignment="false" applyProtection="false">
      <alignment horizontal="general" vertical="bottom" textRotation="0" wrapText="false" indent="0" shrinkToFit="false"/>
      <protection locked="true" hidden="false"/>
    </xf>
    <xf numFmtId="174" fontId="15" fillId="3" borderId="0" xfId="0" applyFont="true" applyBorder="false" applyAlignment="false" applyProtection="false">
      <alignment horizontal="general" vertical="bottom" textRotation="0" wrapText="false" indent="0" shrinkToFit="false"/>
      <protection locked="true" hidden="false"/>
    </xf>
    <xf numFmtId="178" fontId="15" fillId="3" borderId="0" xfId="0" applyFont="true" applyBorder="false" applyAlignment="false" applyProtection="false">
      <alignment horizontal="general" vertical="bottom" textRotation="0" wrapText="false" indent="0" shrinkToFit="false"/>
      <protection locked="true" hidden="false"/>
    </xf>
    <xf numFmtId="177" fontId="22" fillId="6"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3"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8" fontId="0" fillId="0" borderId="0" xfId="0" applyFont="false" applyBorder="false" applyAlignment="true" applyProtection="false">
      <alignment horizontal="center" vertical="bottom" textRotation="0" wrapText="false" indent="0" shrinkToFit="false"/>
      <protection locked="true" hidden="false"/>
    </xf>
    <xf numFmtId="178" fontId="15" fillId="3" borderId="0" xfId="0" applyFont="true" applyBorder="false" applyAlignment="true" applyProtection="false">
      <alignment horizontal="center" vertical="bottom" textRotation="0" wrapText="false" indent="0" shrinkToFit="false"/>
      <protection locked="true" hidden="false"/>
    </xf>
    <xf numFmtId="168" fontId="15" fillId="3" borderId="0" xfId="0" applyFont="true" applyBorder="false" applyAlignment="true" applyProtection="false">
      <alignment horizontal="center" vertical="bottom" textRotation="0" wrapText="false" indent="0" shrinkToFit="false"/>
      <protection locked="true" hidden="false"/>
    </xf>
    <xf numFmtId="168" fontId="0" fillId="0" borderId="0" xfId="0" applyFont="false" applyBorder="false" applyAlignment="true" applyProtection="false">
      <alignment horizontal="center" vertical="bottom" textRotation="0" wrapText="false" indent="0" shrinkToFit="false"/>
      <protection locked="true" hidden="false"/>
    </xf>
    <xf numFmtId="176" fontId="15" fillId="3" borderId="0" xfId="0" applyFont="true" applyBorder="false" applyAlignment="true" applyProtection="false">
      <alignment horizontal="center" vertical="bottom" textRotation="0" wrapText="false" indent="0" shrinkToFit="false"/>
      <protection locked="true" hidden="false"/>
    </xf>
    <xf numFmtId="176" fontId="0" fillId="0" borderId="0" xfId="0" applyFont="false" applyBorder="false" applyAlignment="true" applyProtection="false">
      <alignment horizontal="center" vertical="bottom" textRotation="0" wrapText="false" indent="0" shrinkToFit="false"/>
      <protection locked="true" hidden="false"/>
    </xf>
    <xf numFmtId="170" fontId="15" fillId="3" borderId="0" xfId="0" applyFont="true" applyBorder="false" applyAlignment="true" applyProtection="false">
      <alignment horizontal="center" vertical="bottom" textRotation="0" wrapText="false" indent="0" shrinkToFit="false"/>
      <protection locked="true" hidden="false"/>
    </xf>
    <xf numFmtId="170" fontId="0" fillId="0" borderId="0" xfId="0" applyFont="false" applyBorder="false" applyAlignment="true" applyProtection="false">
      <alignment horizontal="center"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79" fontId="22" fillId="0" borderId="0" xfId="0" applyFont="true" applyBorder="false" applyAlignment="false" applyProtection="false">
      <alignment horizontal="general" vertical="bottom" textRotation="0" wrapText="false" indent="0" shrinkToFit="false"/>
      <protection locked="true" hidden="false"/>
    </xf>
    <xf numFmtId="173" fontId="22" fillId="0" borderId="0" xfId="0" applyFont="true" applyBorder="false" applyAlignment="false" applyProtection="false">
      <alignment horizontal="general" vertical="bottom" textRotation="0" wrapText="false" indent="0" shrinkToFit="false"/>
      <protection locked="true" hidden="false"/>
    </xf>
    <xf numFmtId="174" fontId="22" fillId="0" borderId="0" xfId="0" applyFont="true" applyBorder="false" applyAlignment="false" applyProtection="false">
      <alignment horizontal="general" vertical="bottom" textRotation="0" wrapText="false" indent="0" shrinkToFit="false"/>
      <protection locked="true" hidden="false"/>
    </xf>
    <xf numFmtId="176" fontId="22"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A6E77"/>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7D5FA0"/>
      <rgbColor rgb="FF999999"/>
      <rgbColor rgb="FF003B46"/>
      <rgbColor rgb="FF4F81BD"/>
      <rgbColor rgb="FF032330"/>
      <rgbColor rgb="FF333300"/>
      <rgbColor rgb="FF9C1C1C"/>
      <rgbColor rgb="FFC0504D"/>
      <rgbColor rgb="FF333399"/>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worksheet" Target="worksheets/sheet34.xml"/><Relationship Id="rId37" Type="http://schemas.openxmlformats.org/officeDocument/2006/relationships/worksheet" Target="worksheets/sheet35.xml"/><Relationship Id="rId3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by segment (EUR)</a:t>
            </a:r>
          </a:p>
        </c:rich>
      </c:tx>
      <c:overlay val="0"/>
      <c:spPr>
        <a:noFill/>
        <a:ln w="0">
          <a:noFill/>
        </a:ln>
      </c:spPr>
    </c:title>
    <c:autoTitleDeleted val="0"/>
    <c:plotArea>
      <c:barChart>
        <c:barDir val="col"/>
        <c:grouping val="stacked"/>
        <c:varyColors val="0"/>
        <c:ser>
          <c:idx val="0"/>
          <c:order val="0"/>
          <c:tx>
            <c:strRef>
              <c:f>"Developer"</c:f>
              <c:strCache>
                <c:ptCount val="1"/>
                <c:pt idx="0">
                  <c:v>Developer</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PL!$E$57:$AB$57</c:f>
              <c:numCache>
                <c:formatCode>#,##0;\(#,##0\);\-</c:formatCode>
                <c:ptCount val="24"/>
                <c:pt idx="0">
                  <c:v>75510.7959090909</c:v>
                </c:pt>
                <c:pt idx="1">
                  <c:v>81962.1586363636</c:v>
                </c:pt>
                <c:pt idx="2">
                  <c:v>82243.0836363636</c:v>
                </c:pt>
                <c:pt idx="3">
                  <c:v>84029.0972727273</c:v>
                </c:pt>
                <c:pt idx="4">
                  <c:v>82221.3490909091</c:v>
                </c:pt>
                <c:pt idx="5">
                  <c:v>85687.5559090909</c:v>
                </c:pt>
                <c:pt idx="6">
                  <c:v>88344.3359090909</c:v>
                </c:pt>
                <c:pt idx="7">
                  <c:v>86409.2727272727</c:v>
                </c:pt>
                <c:pt idx="8">
                  <c:v>91113.780431591</c:v>
                </c:pt>
                <c:pt idx="9">
                  <c:v>95687.1100549517</c:v>
                </c:pt>
                <c:pt idx="10">
                  <c:v>101214.182875414</c:v>
                </c:pt>
                <c:pt idx="11">
                  <c:v>99148.4956987587</c:v>
                </c:pt>
                <c:pt idx="12">
                  <c:v>111475.371006654</c:v>
                </c:pt>
                <c:pt idx="13">
                  <c:v>111811.665017257</c:v>
                </c:pt>
                <c:pt idx="14">
                  <c:v>117330.793714634</c:v>
                </c:pt>
                <c:pt idx="15">
                  <c:v>119396.058284809</c:v>
                </c:pt>
                <c:pt idx="16">
                  <c:v>126101.330458553</c:v>
                </c:pt>
                <c:pt idx="17">
                  <c:v>122409.437122515</c:v>
                </c:pt>
                <c:pt idx="18">
                  <c:v>127598.900460813</c:v>
                </c:pt>
                <c:pt idx="19">
                  <c:v>126499.417589698</c:v>
                </c:pt>
                <c:pt idx="20">
                  <c:v>133364.497013951</c:v>
                </c:pt>
                <c:pt idx="21">
                  <c:v>140332.714763713</c:v>
                </c:pt>
                <c:pt idx="22">
                  <c:v>145640.002187864</c:v>
                </c:pt>
                <c:pt idx="23">
                  <c:v>149063.24112739</c:v>
                </c:pt>
              </c:numCache>
            </c:numRef>
          </c:val>
        </c:ser>
        <c:ser>
          <c:idx val="1"/>
          <c:order val="1"/>
          <c:tx>
            <c:strRef>
              <c:f>"Team"</c:f>
              <c:strCache>
                <c:ptCount val="1"/>
                <c:pt idx="0">
                  <c:v>Team</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PL!$E$58:$AB$58</c:f>
              <c:numCache>
                <c:formatCode>#,##0;\(#,##0\);\-</c:formatCode>
                <c:ptCount val="24"/>
                <c:pt idx="0">
                  <c:v>181624.59</c:v>
                </c:pt>
                <c:pt idx="1">
                  <c:v>183869.59</c:v>
                </c:pt>
                <c:pt idx="2">
                  <c:v>190998.21</c:v>
                </c:pt>
                <c:pt idx="3">
                  <c:v>193712.39</c:v>
                </c:pt>
                <c:pt idx="4">
                  <c:v>201515.91</c:v>
                </c:pt>
                <c:pt idx="5">
                  <c:v>208438.7</c:v>
                </c:pt>
                <c:pt idx="6">
                  <c:v>208095.44</c:v>
                </c:pt>
                <c:pt idx="7">
                  <c:v>208487.64</c:v>
                </c:pt>
                <c:pt idx="8">
                  <c:v>208362.400391317</c:v>
                </c:pt>
                <c:pt idx="9">
                  <c:v>212611.158638154</c:v>
                </c:pt>
                <c:pt idx="10">
                  <c:v>216381.179459176</c:v>
                </c:pt>
                <c:pt idx="11">
                  <c:v>219358.601033861</c:v>
                </c:pt>
                <c:pt idx="12">
                  <c:v>223418.077627166</c:v>
                </c:pt>
                <c:pt idx="13">
                  <c:v>227000.67508792</c:v>
                </c:pt>
                <c:pt idx="14">
                  <c:v>230764.887229039</c:v>
                </c:pt>
                <c:pt idx="15">
                  <c:v>233812.780469032</c:v>
                </c:pt>
                <c:pt idx="16">
                  <c:v>236646.703972445</c:v>
                </c:pt>
                <c:pt idx="17">
                  <c:v>239597.490649964</c:v>
                </c:pt>
                <c:pt idx="18">
                  <c:v>241517.389934856</c:v>
                </c:pt>
                <c:pt idx="19">
                  <c:v>242097.191670149</c:v>
                </c:pt>
                <c:pt idx="20">
                  <c:v>245634.312842516</c:v>
                </c:pt>
                <c:pt idx="21">
                  <c:v>249275.875657279</c:v>
                </c:pt>
                <c:pt idx="22">
                  <c:v>252442.744695001</c:v>
                </c:pt>
                <c:pt idx="23">
                  <c:v>254813.096752584</c:v>
                </c:pt>
              </c:numCache>
            </c:numRef>
          </c:val>
        </c:ser>
        <c:ser>
          <c:idx val="2"/>
          <c:order val="2"/>
          <c:tx>
            <c:strRef>
              <c:f>"Enterprise"</c:f>
              <c:strCache>
                <c:ptCount val="1"/>
                <c:pt idx="0">
                  <c:v>Enterprise</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PL!$E$59:$AB$59</c:f>
              <c:numCache>
                <c:formatCode>#,##0;\(#,##0\);\-</c:formatCode>
                <c:ptCount val="24"/>
                <c:pt idx="0">
                  <c:v>239324.28</c:v>
                </c:pt>
                <c:pt idx="1">
                  <c:v>209055.46</c:v>
                </c:pt>
                <c:pt idx="2">
                  <c:v>239938.62</c:v>
                </c:pt>
                <c:pt idx="3">
                  <c:v>211228.52</c:v>
                </c:pt>
                <c:pt idx="4">
                  <c:v>239841.75</c:v>
                </c:pt>
                <c:pt idx="5">
                  <c:v>274100.03</c:v>
                </c:pt>
                <c:pt idx="6">
                  <c:v>270466.45</c:v>
                </c:pt>
                <c:pt idx="7">
                  <c:v>279247.18</c:v>
                </c:pt>
                <c:pt idx="8">
                  <c:v>362303.430753</c:v>
                </c:pt>
                <c:pt idx="9">
                  <c:v>255208.331864375</c:v>
                </c:pt>
                <c:pt idx="10">
                  <c:v>268076.970864388</c:v>
                </c:pt>
                <c:pt idx="11">
                  <c:v>279410.093738776</c:v>
                </c:pt>
                <c:pt idx="12">
                  <c:v>306181.227278516</c:v>
                </c:pt>
                <c:pt idx="13">
                  <c:v>294303.000697124</c:v>
                </c:pt>
                <c:pt idx="14">
                  <c:v>409486.277062036</c:v>
                </c:pt>
                <c:pt idx="15">
                  <c:v>305951.804366362</c:v>
                </c:pt>
                <c:pt idx="16">
                  <c:v>318886.098430946</c:v>
                </c:pt>
                <c:pt idx="17">
                  <c:v>442008.841108146</c:v>
                </c:pt>
                <c:pt idx="18">
                  <c:v>324437.017302965</c:v>
                </c:pt>
                <c:pt idx="19">
                  <c:v>341952.280171191</c:v>
                </c:pt>
                <c:pt idx="20">
                  <c:v>389418.79751787</c:v>
                </c:pt>
                <c:pt idx="21">
                  <c:v>406427.874474742</c:v>
                </c:pt>
                <c:pt idx="22">
                  <c:v>385023.776156571</c:v>
                </c:pt>
                <c:pt idx="23">
                  <c:v>351750.350995172</c:v>
                </c:pt>
              </c:numCache>
            </c:numRef>
          </c:val>
        </c:ser>
        <c:gapWidth val="150"/>
        <c:overlap val="100"/>
        <c:axId val="56456876"/>
        <c:axId val="17494769"/>
      </c:barChart>
      <c:catAx>
        <c:axId val="56456876"/>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494769"/>
        <c:crosses val="autoZero"/>
        <c:auto val="1"/>
        <c:lblAlgn val="ctr"/>
        <c:lblOffset val="100"/>
        <c:noMultiLvlLbl val="0"/>
      </c:catAx>
      <c:valAx>
        <c:axId val="1749476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45687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Realised price and compute cost per 1,000 units (EUR)</a:t>
            </a:r>
          </a:p>
        </c:rich>
      </c:tx>
      <c:overlay val="0"/>
      <c:spPr>
        <a:noFill/>
        <a:ln w="0">
          <a:noFill/>
        </a:ln>
      </c:spPr>
    </c:title>
    <c:autoTitleDeleted val="0"/>
    <c:plotArea>
      <c:lineChart>
        <c:grouping val="standard"/>
        <c:varyColors val="0"/>
        <c:ser>
          <c:idx val="0"/>
          <c:order val="0"/>
          <c:tx>
            <c:strRef>
              <c:f>"Voice AI: price"</c:f>
              <c:strCache>
                <c:ptCount val="1"/>
                <c:pt idx="0">
                  <c:v>Voice AI: price</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Unit_Costs!$E$28:$AB$28</c:f>
              <c:numCache>
                <c:formatCode>#,##0.00;\(#,##0.00\);\-</c:formatCode>
                <c:ptCount val="24"/>
                <c:pt idx="0">
                  <c:v>7.72379350659802</c:v>
                </c:pt>
                <c:pt idx="1">
                  <c:v>7.16779290416944</c:v>
                </c:pt>
                <c:pt idx="2">
                  <c:v>8.35708676750879</c:v>
                </c:pt>
                <c:pt idx="3">
                  <c:v>7.18272274883065</c:v>
                </c:pt>
                <c:pt idx="4">
                  <c:v>7.42847359833483</c:v>
                </c:pt>
                <c:pt idx="5">
                  <c:v>8.08294671137734</c:v>
                </c:pt>
                <c:pt idx="6">
                  <c:v>7.36794569416812</c:v>
                </c:pt>
                <c:pt idx="7">
                  <c:v>7.78451004007741</c:v>
                </c:pt>
                <c:pt idx="8">
                  <c:v>7.73160443151248</c:v>
                </c:pt>
                <c:pt idx="9">
                  <c:v>7.0265819853721</c:v>
                </c:pt>
                <c:pt idx="10">
                  <c:v>7.02498991458194</c:v>
                </c:pt>
                <c:pt idx="11">
                  <c:v>6.96242336739981</c:v>
                </c:pt>
                <c:pt idx="12">
                  <c:v>6.56977241526057</c:v>
                </c:pt>
                <c:pt idx="13">
                  <c:v>6.30764743664938</c:v>
                </c:pt>
                <c:pt idx="14">
                  <c:v>7.03671286966265</c:v>
                </c:pt>
                <c:pt idx="15">
                  <c:v>6.30929990905821</c:v>
                </c:pt>
                <c:pt idx="16">
                  <c:v>6.33160061312573</c:v>
                </c:pt>
                <c:pt idx="17">
                  <c:v>8.07957878028354</c:v>
                </c:pt>
                <c:pt idx="18">
                  <c:v>6.30936493919799</c:v>
                </c:pt>
                <c:pt idx="19">
                  <c:v>6.48880054124473</c:v>
                </c:pt>
                <c:pt idx="20">
                  <c:v>6.54753400710945</c:v>
                </c:pt>
                <c:pt idx="21">
                  <c:v>6.90053086638747</c:v>
                </c:pt>
                <c:pt idx="22">
                  <c:v>6.43564770428842</c:v>
                </c:pt>
                <c:pt idx="23">
                  <c:v>6.31436516463292</c:v>
                </c:pt>
              </c:numCache>
            </c:numRef>
          </c:val>
          <c:smooth val="1"/>
        </c:ser>
        <c:ser>
          <c:idx val="1"/>
          <c:order val="1"/>
          <c:tx>
            <c:strRef>
              <c:f>"Voice AI: compute cost"</c:f>
              <c:strCache>
                <c:ptCount val="1"/>
                <c:pt idx="0">
                  <c:v>Voice AI: compute cost</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Unit_Costs!$E$29:$AB$29</c:f>
              <c:numCache>
                <c:formatCode>#,##0.00;\(#,##0.00\);\-</c:formatCode>
                <c:ptCount val="24"/>
                <c:pt idx="0">
                  <c:v>2.97135429757011</c:v>
                </c:pt>
                <c:pt idx="1">
                  <c:v>2.90135836953716</c:v>
                </c:pt>
                <c:pt idx="2">
                  <c:v>3.01801211540459</c:v>
                </c:pt>
                <c:pt idx="3">
                  <c:v>2.84979805160834</c:v>
                </c:pt>
                <c:pt idx="4">
                  <c:v>2.98166524084832</c:v>
                </c:pt>
                <c:pt idx="5">
                  <c:v>2.94067295264077</c:v>
                </c:pt>
                <c:pt idx="6">
                  <c:v>2.94651317345068</c:v>
                </c:pt>
                <c:pt idx="7">
                  <c:v>2.93800269904221</c:v>
                </c:pt>
                <c:pt idx="8">
                  <c:v>2.91376891910928</c:v>
                </c:pt>
                <c:pt idx="9">
                  <c:v>2.39300342071873</c:v>
                </c:pt>
                <c:pt idx="10">
                  <c:v>2.38077894283482</c:v>
                </c:pt>
                <c:pt idx="11">
                  <c:v>2.37549127706852</c:v>
                </c:pt>
                <c:pt idx="12">
                  <c:v>2.34947935868037</c:v>
                </c:pt>
                <c:pt idx="13">
                  <c:v>2.33663528424402</c:v>
                </c:pt>
                <c:pt idx="14">
                  <c:v>2.33038382882327</c:v>
                </c:pt>
                <c:pt idx="15">
                  <c:v>2.32227016107066</c:v>
                </c:pt>
                <c:pt idx="16">
                  <c:v>2.31798636282225</c:v>
                </c:pt>
                <c:pt idx="17">
                  <c:v>2.32729757657837</c:v>
                </c:pt>
                <c:pt idx="18">
                  <c:v>2.30406131868827</c:v>
                </c:pt>
                <c:pt idx="19">
                  <c:v>2.30393937173371</c:v>
                </c:pt>
                <c:pt idx="20">
                  <c:v>2.2911870511688</c:v>
                </c:pt>
                <c:pt idx="21">
                  <c:v>2.28489866540303</c:v>
                </c:pt>
                <c:pt idx="22">
                  <c:v>2.27497705413585</c:v>
                </c:pt>
                <c:pt idx="23">
                  <c:v>2.27795152878013</c:v>
                </c:pt>
              </c:numCache>
            </c:numRef>
          </c:val>
          <c:smooth val="1"/>
        </c:ser>
        <c:ser>
          <c:idx val="2"/>
          <c:order val="2"/>
          <c:tx>
            <c:strRef>
              <c:f>"Document AI: price"</c:f>
              <c:strCache>
                <c:ptCount val="1"/>
                <c:pt idx="0">
                  <c:v>Document AI: price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Unit_Costs!$E$15:$AB$15</c:f>
              <c:numCache>
                <c:formatCode>#,##0.00;\(#,##0.00\);\-</c:formatCode>
                <c:ptCount val="24"/>
                <c:pt idx="0">
                  <c:v>10.7002027587929</c:v>
                </c:pt>
                <c:pt idx="1">
                  <c:v>9.7741352117329</c:v>
                </c:pt>
                <c:pt idx="2">
                  <c:v>10.3650749228831</c:v>
                </c:pt>
                <c:pt idx="3">
                  <c:v>9.70248073265673</c:v>
                </c:pt>
                <c:pt idx="4">
                  <c:v>10.142915067109</c:v>
                </c:pt>
                <c:pt idx="5">
                  <c:v>10.8087443477937</c:v>
                </c:pt>
                <c:pt idx="6">
                  <c:v>9.81936592146128</c:v>
                </c:pt>
                <c:pt idx="7">
                  <c:v>9.66871567757441</c:v>
                </c:pt>
                <c:pt idx="8">
                  <c:v>12.1364026177709</c:v>
                </c:pt>
                <c:pt idx="9">
                  <c:v>9.59491960207463</c:v>
                </c:pt>
                <c:pt idx="10">
                  <c:v>9.58898444600319</c:v>
                </c:pt>
                <c:pt idx="11">
                  <c:v>9.47348354859519</c:v>
                </c:pt>
                <c:pt idx="12">
                  <c:v>9.02056534709219</c:v>
                </c:pt>
                <c:pt idx="13">
                  <c:v>8.59162378165449</c:v>
                </c:pt>
                <c:pt idx="14">
                  <c:v>10.2216202017931</c:v>
                </c:pt>
                <c:pt idx="15">
                  <c:v>8.60649278881882</c:v>
                </c:pt>
                <c:pt idx="16">
                  <c:v>8.63772305925424</c:v>
                </c:pt>
                <c:pt idx="17">
                  <c:v>9.5258197153634</c:v>
                </c:pt>
                <c:pt idx="18">
                  <c:v>8.60005121966406</c:v>
                </c:pt>
                <c:pt idx="19">
                  <c:v>8.62230751350489</c:v>
                </c:pt>
                <c:pt idx="20">
                  <c:v>9.45376889345348</c:v>
                </c:pt>
                <c:pt idx="21">
                  <c:v>9.50057983106426</c:v>
                </c:pt>
                <c:pt idx="22">
                  <c:v>9.25437869749223</c:v>
                </c:pt>
                <c:pt idx="23">
                  <c:v>8.60970030868769</c:v>
                </c:pt>
              </c:numCache>
            </c:numRef>
          </c:val>
          <c:smooth val="1"/>
        </c:ser>
        <c:ser>
          <c:idx val="3"/>
          <c:order val="3"/>
          <c:tx>
            <c:strRef>
              <c:f>"Document AI: compute cost"</c:f>
              <c:strCache>
                <c:ptCount val="1"/>
                <c:pt idx="0">
                  <c:v>Document AI: compute cost</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Unit_Costs!$E$16:$AB$16</c:f>
              <c:numCache>
                <c:formatCode>#,##0.00;\(#,##0.00\);\-</c:formatCode>
                <c:ptCount val="24"/>
                <c:pt idx="0">
                  <c:v>1.43292350780091</c:v>
                </c:pt>
                <c:pt idx="1">
                  <c:v>1.36721322222859</c:v>
                </c:pt>
                <c:pt idx="2">
                  <c:v>1.35336859974283</c:v>
                </c:pt>
                <c:pt idx="3">
                  <c:v>1.33138199882172</c:v>
                </c:pt>
                <c:pt idx="4">
                  <c:v>1.3232749913984</c:v>
                </c:pt>
                <c:pt idx="5">
                  <c:v>1.36944603626495</c:v>
                </c:pt>
                <c:pt idx="6">
                  <c:v>1.35295985174919</c:v>
                </c:pt>
                <c:pt idx="7">
                  <c:v>1.33594898758634</c:v>
                </c:pt>
                <c:pt idx="8">
                  <c:v>1.33573438243782</c:v>
                </c:pt>
                <c:pt idx="9">
                  <c:v>1.30720628767897</c:v>
                </c:pt>
                <c:pt idx="10">
                  <c:v>1.29302421449603</c:v>
                </c:pt>
                <c:pt idx="11">
                  <c:v>1.28489986477417</c:v>
                </c:pt>
                <c:pt idx="12">
                  <c:v>1.2537148704766</c:v>
                </c:pt>
                <c:pt idx="13">
                  <c:v>1.23900911520792</c:v>
                </c:pt>
                <c:pt idx="14">
                  <c:v>1.24133562315937</c:v>
                </c:pt>
                <c:pt idx="15">
                  <c:v>1.22421560622021</c:v>
                </c:pt>
                <c:pt idx="16">
                  <c:v>1.21830454293301</c:v>
                </c:pt>
                <c:pt idx="17">
                  <c:v>1.20321293205969</c:v>
                </c:pt>
                <c:pt idx="18">
                  <c:v>1.20510153613619</c:v>
                </c:pt>
                <c:pt idx="19">
                  <c:v>1.20038742468086</c:v>
                </c:pt>
                <c:pt idx="20">
                  <c:v>1.20044846212486</c:v>
                </c:pt>
                <c:pt idx="21">
                  <c:v>1.18762503055206</c:v>
                </c:pt>
                <c:pt idx="22">
                  <c:v>1.18345292495948</c:v>
                </c:pt>
                <c:pt idx="23">
                  <c:v>1.17746039391831</c:v>
                </c:pt>
              </c:numCache>
            </c:numRef>
          </c:val>
          <c:smooth val="1"/>
        </c:ser>
        <c:hiLowLines>
          <c:spPr>
            <a:ln w="0">
              <a:noFill/>
            </a:ln>
          </c:spPr>
        </c:hiLowLines>
        <c:marker val="0"/>
        <c:axId val="693329"/>
        <c:axId val="31526016"/>
      </c:lineChart>
      <c:catAx>
        <c:axId val="693329"/>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526016"/>
        <c:crosses val="autoZero"/>
        <c:auto val="1"/>
        <c:lblAlgn val="ctr"/>
        <c:lblOffset val="100"/>
        <c:noMultiLvlLbl val="0"/>
      </c:catAx>
      <c:valAx>
        <c:axId val="31526016"/>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9332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Gross margin % by product</a:t>
            </a:r>
          </a:p>
        </c:rich>
      </c:tx>
      <c:overlay val="0"/>
      <c:spPr>
        <a:noFill/>
        <a:ln w="0">
          <a:noFill/>
        </a:ln>
      </c:spPr>
    </c:title>
    <c:autoTitleDeleted val="0"/>
    <c:plotArea>
      <c:lineChart>
        <c:grouping val="standard"/>
        <c:varyColors val="0"/>
        <c:ser>
          <c:idx val="0"/>
          <c:order val="0"/>
          <c:tx>
            <c:strRef>
              <c:f>"Document AI"</c:f>
              <c:strCache>
                <c:ptCount val="1"/>
                <c:pt idx="0">
                  <c:v>Document AI</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Margins!$E$14:$AB$14</c:f>
              <c:numCache>
                <c:formatCode>0.0%;\(0.0%\);\-</c:formatCode>
                <c:ptCount val="24"/>
                <c:pt idx="0">
                  <c:v>0.715432988566069</c:v>
                </c:pt>
                <c:pt idx="1">
                  <c:v>0.710437915230989</c:v>
                </c:pt>
                <c:pt idx="2">
                  <c:v>0.712014604115303</c:v>
                </c:pt>
                <c:pt idx="3">
                  <c:v>0.704844461208186</c:v>
                </c:pt>
                <c:pt idx="4">
                  <c:v>0.710202175067458</c:v>
                </c:pt>
                <c:pt idx="5">
                  <c:v>0.720882459329137</c:v>
                </c:pt>
                <c:pt idx="6">
                  <c:v>0.723344662576654</c:v>
                </c:pt>
                <c:pt idx="7">
                  <c:v>0.748164262111881</c:v>
                </c:pt>
                <c:pt idx="8">
                  <c:v>0.756794311602998</c:v>
                </c:pt>
                <c:pt idx="9">
                  <c:v>0.699797643153129</c:v>
                </c:pt>
                <c:pt idx="10">
                  <c:v>0.703987602004392</c:v>
                </c:pt>
                <c:pt idx="11">
                  <c:v>0.712984596933449</c:v>
                </c:pt>
                <c:pt idx="12">
                  <c:v>0.697855790150334</c:v>
                </c:pt>
                <c:pt idx="13">
                  <c:v>0.698806202778573</c:v>
                </c:pt>
                <c:pt idx="14">
                  <c:v>0.741678971441959</c:v>
                </c:pt>
                <c:pt idx="15">
                  <c:v>0.6972722699634</c:v>
                </c:pt>
                <c:pt idx="16">
                  <c:v>0.704792061567762</c:v>
                </c:pt>
                <c:pt idx="17">
                  <c:v>0.736703335088918</c:v>
                </c:pt>
                <c:pt idx="18">
                  <c:v>0.719918579270271</c:v>
                </c:pt>
                <c:pt idx="19">
                  <c:v>0.74312379105958</c:v>
                </c:pt>
                <c:pt idx="20">
                  <c:v>0.726925987972178</c:v>
                </c:pt>
                <c:pt idx="21">
                  <c:v>0.736404979997693</c:v>
                </c:pt>
                <c:pt idx="22">
                  <c:v>0.728321797310929</c:v>
                </c:pt>
                <c:pt idx="23">
                  <c:v>0.719956156402094</c:v>
                </c:pt>
              </c:numCache>
            </c:numRef>
          </c:val>
          <c:smooth val="1"/>
        </c:ser>
        <c:ser>
          <c:idx val="1"/>
          <c:order val="1"/>
          <c:tx>
            <c:strRef>
              <c:f>"Voice AI"</c:f>
              <c:strCache>
                <c:ptCount val="1"/>
                <c:pt idx="0">
                  <c:v>Voice AI</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Margins!$E$21:$AB$21</c:f>
              <c:numCache>
                <c:formatCode>0.0%;\(0.0%\);\-</c:formatCode>
                <c:ptCount val="24"/>
                <c:pt idx="0">
                  <c:v>0.465376286773991</c:v>
                </c:pt>
                <c:pt idx="1">
                  <c:v>0.446583837916645</c:v>
                </c:pt>
                <c:pt idx="2">
                  <c:v>0.483335775929021</c:v>
                </c:pt>
                <c:pt idx="3">
                  <c:v>0.445924760963704</c:v>
                </c:pt>
                <c:pt idx="4">
                  <c:v>0.439776953546005</c:v>
                </c:pt>
                <c:pt idx="5">
                  <c:v>0.484368233194882</c:v>
                </c:pt>
                <c:pt idx="6">
                  <c:v>0.462533616852467</c:v>
                </c:pt>
                <c:pt idx="7">
                  <c:v>0.510925512636405</c:v>
                </c:pt>
                <c:pt idx="8">
                  <c:v>0.489527649890693</c:v>
                </c:pt>
                <c:pt idx="9">
                  <c:v>0.496620087265202</c:v>
                </c:pt>
                <c:pt idx="10">
                  <c:v>0.501030492248278</c:v>
                </c:pt>
                <c:pt idx="11">
                  <c:v>0.508414590919893</c:v>
                </c:pt>
                <c:pt idx="12">
                  <c:v>0.480083341870312</c:v>
                </c:pt>
                <c:pt idx="13">
                  <c:v>0.473561604666261</c:v>
                </c:pt>
                <c:pt idx="14">
                  <c:v>0.532284665640924</c:v>
                </c:pt>
                <c:pt idx="15">
                  <c:v>0.472490310614232</c:v>
                </c:pt>
                <c:pt idx="16">
                  <c:v>0.480745487669771</c:v>
                </c:pt>
                <c:pt idx="17">
                  <c:v>0.577218004606672</c:v>
                </c:pt>
                <c:pt idx="18">
                  <c:v>0.495856379185002</c:v>
                </c:pt>
                <c:pt idx="19">
                  <c:v>0.528480394429148</c:v>
                </c:pt>
                <c:pt idx="20">
                  <c:v>0.50426266872115</c:v>
                </c:pt>
                <c:pt idx="21">
                  <c:v>0.531114110296557</c:v>
                </c:pt>
                <c:pt idx="22">
                  <c:v>0.503096479125558</c:v>
                </c:pt>
                <c:pt idx="23">
                  <c:v>0.496971105030449</c:v>
                </c:pt>
              </c:numCache>
            </c:numRef>
          </c:val>
          <c:smooth val="1"/>
        </c:ser>
        <c:ser>
          <c:idx val="2"/>
          <c:order val="2"/>
          <c:tx>
            <c:strRef>
              <c:f>"Agent workspace"</c:f>
              <c:strCache>
                <c:ptCount val="1"/>
                <c:pt idx="0">
                  <c:v>Agent workspace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Margins!$E$28:$AB$28</c:f>
              <c:numCache>
                <c:formatCode>0.0%;\(0.0%\);\-</c:formatCode>
                <c:ptCount val="24"/>
                <c:pt idx="0">
                  <c:v>0.516474729421808</c:v>
                </c:pt>
                <c:pt idx="1">
                  <c:v>0.508494216909094</c:v>
                </c:pt>
                <c:pt idx="2">
                  <c:v>0.515993166583546</c:v>
                </c:pt>
                <c:pt idx="3">
                  <c:v>0.508668609550208</c:v>
                </c:pt>
                <c:pt idx="4">
                  <c:v>0.512066433176147</c:v>
                </c:pt>
                <c:pt idx="5">
                  <c:v>0.522610875699261</c:v>
                </c:pt>
                <c:pt idx="6">
                  <c:v>0.529847891502812</c:v>
                </c:pt>
                <c:pt idx="7">
                  <c:v>0.557582237690039</c:v>
                </c:pt>
                <c:pt idx="8">
                  <c:v>0.571631874980881</c:v>
                </c:pt>
                <c:pt idx="9">
                  <c:v>0.563956576871179</c:v>
                </c:pt>
                <c:pt idx="10">
                  <c:v>0.567592502856239</c:v>
                </c:pt>
                <c:pt idx="11">
                  <c:v>0.575623440975024</c:v>
                </c:pt>
                <c:pt idx="12">
                  <c:v>0.545731922131869</c:v>
                </c:pt>
                <c:pt idx="13">
                  <c:v>0.545446212334317</c:v>
                </c:pt>
                <c:pt idx="14">
                  <c:v>0.608048213392582</c:v>
                </c:pt>
                <c:pt idx="15">
                  <c:v>0.543130251033191</c:v>
                </c:pt>
                <c:pt idx="16">
                  <c:v>0.550425276657287</c:v>
                </c:pt>
                <c:pt idx="17">
                  <c:v>0.607741412853056</c:v>
                </c:pt>
                <c:pt idx="18">
                  <c:v>0.564238069822754</c:v>
                </c:pt>
                <c:pt idx="19">
                  <c:v>0.59160058166128</c:v>
                </c:pt>
                <c:pt idx="20">
                  <c:v>0.578204120358195</c:v>
                </c:pt>
                <c:pt idx="21">
                  <c:v>0.585607606644563</c:v>
                </c:pt>
                <c:pt idx="22">
                  <c:v>0.578763219738775</c:v>
                </c:pt>
                <c:pt idx="23">
                  <c:v>0.562853897773512</c:v>
                </c:pt>
              </c:numCache>
            </c:numRef>
          </c:val>
          <c:smooth val="1"/>
        </c:ser>
        <c:hiLowLines>
          <c:spPr>
            <a:ln w="0">
              <a:noFill/>
            </a:ln>
          </c:spPr>
        </c:hiLowLines>
        <c:marker val="0"/>
        <c:axId val="85531542"/>
        <c:axId val="31145292"/>
      </c:lineChart>
      <c:catAx>
        <c:axId val="85531542"/>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145292"/>
        <c:crosses val="autoZero"/>
        <c:auto val="1"/>
        <c:lblAlgn val="ctr"/>
        <c:lblOffset val="100"/>
        <c:noMultiLvlLbl val="0"/>
      </c:catAx>
      <c:valAx>
        <c:axId val="3114529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53154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at bank vs the board buffer, and the research tax credit receivable (EUR)</a:t>
            </a:r>
          </a:p>
        </c:rich>
      </c:tx>
      <c:overlay val="0"/>
      <c:spPr>
        <a:noFill/>
        <a:ln w="0">
          <a:noFill/>
        </a:ln>
      </c:spPr>
    </c:title>
    <c:autoTitleDeleted val="0"/>
    <c:plotArea>
      <c:lineChart>
        <c:grouping val="standard"/>
        <c:varyColors val="0"/>
        <c:ser>
          <c:idx val="0"/>
          <c:order val="0"/>
          <c:tx>
            <c:strRef>
              <c:f>"Cash at bank"</c:f>
              <c:strCache>
                <c:ptCount val="1"/>
                <c:pt idx="0">
                  <c:v>Cash at bank</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KPIs!$E$44:$AB$44</c:f>
              <c:numCache>
                <c:formatCode>#,##0;\(#,##0\);\-</c:formatCode>
                <c:ptCount val="24"/>
                <c:pt idx="0">
                  <c:v>11693806.8483333</c:v>
                </c:pt>
                <c:pt idx="1">
                  <c:v>11333821.8783333</c:v>
                </c:pt>
                <c:pt idx="2">
                  <c:v>10916994.5140333</c:v>
                </c:pt>
                <c:pt idx="3">
                  <c:v>10274323.7440333</c:v>
                </c:pt>
                <c:pt idx="4">
                  <c:v>9846282.76743333</c:v>
                </c:pt>
                <c:pt idx="5">
                  <c:v>9444647.25743333</c:v>
                </c:pt>
                <c:pt idx="6">
                  <c:v>9747127.25313333</c:v>
                </c:pt>
                <c:pt idx="7">
                  <c:v>9337248.92233333</c:v>
                </c:pt>
                <c:pt idx="8">
                  <c:v>9025696.82675901</c:v>
                </c:pt>
                <c:pt idx="9">
                  <c:v>8475238.80494082</c:v>
                </c:pt>
                <c:pt idx="10">
                  <c:v>8100523.80613852</c:v>
                </c:pt>
                <c:pt idx="11">
                  <c:v>7793186.71369928</c:v>
                </c:pt>
                <c:pt idx="12">
                  <c:v>7165216.97392281</c:v>
                </c:pt>
                <c:pt idx="13">
                  <c:v>6741811.80041374</c:v>
                </c:pt>
                <c:pt idx="14">
                  <c:v>6422907.3298301</c:v>
                </c:pt>
                <c:pt idx="15">
                  <c:v>5824644.84019085</c:v>
                </c:pt>
                <c:pt idx="16">
                  <c:v>5441715.23954591</c:v>
                </c:pt>
                <c:pt idx="17">
                  <c:v>5127276.2256736</c:v>
                </c:pt>
                <c:pt idx="18">
                  <c:v>4550636.65590596</c:v>
                </c:pt>
                <c:pt idx="19">
                  <c:v>4071791.31864774</c:v>
                </c:pt>
                <c:pt idx="20">
                  <c:v>4853555.43605598</c:v>
                </c:pt>
                <c:pt idx="21">
                  <c:v>4295933.0927108</c:v>
                </c:pt>
                <c:pt idx="22">
                  <c:v>3884170.29165767</c:v>
                </c:pt>
                <c:pt idx="23">
                  <c:v>3525929.54743888</c:v>
                </c:pt>
              </c:numCache>
            </c:numRef>
          </c:val>
          <c:smooth val="1"/>
        </c:ser>
        <c:ser>
          <c:idx val="1"/>
          <c:order val="1"/>
          <c:tx>
            <c:strRef>
              <c:f>"Board buffer"</c:f>
              <c:strCache>
                <c:ptCount val="1"/>
                <c:pt idx="0">
                  <c:v>Board buffer</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KPIs!$E$45:$AB$45</c:f>
              <c:numCache>
                <c:formatCode>#,##0;\(#,##0\);\-</c:formatCode>
                <c:ptCount val="24"/>
                <c:pt idx="0">
                  <c:v>3000000</c:v>
                </c:pt>
                <c:pt idx="1">
                  <c:v>3000000</c:v>
                </c:pt>
                <c:pt idx="2">
                  <c:v>3000000</c:v>
                </c:pt>
                <c:pt idx="3">
                  <c:v>3000000</c:v>
                </c:pt>
                <c:pt idx="4">
                  <c:v>3000000</c:v>
                </c:pt>
                <c:pt idx="5">
                  <c:v>3000000</c:v>
                </c:pt>
                <c:pt idx="6">
                  <c:v>3000000</c:v>
                </c:pt>
                <c:pt idx="7">
                  <c:v>3000000</c:v>
                </c:pt>
                <c:pt idx="8">
                  <c:v>3000000</c:v>
                </c:pt>
                <c:pt idx="9">
                  <c:v>3000000</c:v>
                </c:pt>
                <c:pt idx="10">
                  <c:v>3000000</c:v>
                </c:pt>
                <c:pt idx="11">
                  <c:v>3000000</c:v>
                </c:pt>
                <c:pt idx="12">
                  <c:v>3000000</c:v>
                </c:pt>
                <c:pt idx="13">
                  <c:v>3000000</c:v>
                </c:pt>
                <c:pt idx="14">
                  <c:v>3000000</c:v>
                </c:pt>
                <c:pt idx="15">
                  <c:v>3000000</c:v>
                </c:pt>
                <c:pt idx="16">
                  <c:v>3000000</c:v>
                </c:pt>
                <c:pt idx="17">
                  <c:v>3000000</c:v>
                </c:pt>
                <c:pt idx="18">
                  <c:v>3000000</c:v>
                </c:pt>
                <c:pt idx="19">
                  <c:v>3000000</c:v>
                </c:pt>
                <c:pt idx="20">
                  <c:v>3000000</c:v>
                </c:pt>
                <c:pt idx="21">
                  <c:v>3000000</c:v>
                </c:pt>
                <c:pt idx="22">
                  <c:v>3000000</c:v>
                </c:pt>
                <c:pt idx="23">
                  <c:v>3000000</c:v>
                </c:pt>
              </c:numCache>
            </c:numRef>
          </c:val>
          <c:smooth val="1"/>
        </c:ser>
        <c:ser>
          <c:idx val="2"/>
          <c:order val="2"/>
          <c:tx>
            <c:strRef>
              <c:f>"CIR receivable"</c:f>
              <c:strCache>
                <c:ptCount val="1"/>
                <c:pt idx="0">
                  <c:v>CIR receivable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Assumptions!$E$203:$AB$203</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KPIs!$E$50:$AB$50</c:f>
              <c:numCache>
                <c:formatCode>#,##0;\(#,##0\);\-</c:formatCode>
                <c:ptCount val="24"/>
                <c:pt idx="0">
                  <c:v>1024980.6082</c:v>
                </c:pt>
                <c:pt idx="1">
                  <c:v>1118098.0984</c:v>
                </c:pt>
                <c:pt idx="2">
                  <c:v>1212178.825</c:v>
                </c:pt>
                <c:pt idx="3">
                  <c:v>1309817.7706</c:v>
                </c:pt>
                <c:pt idx="4">
                  <c:v>1406131.633</c:v>
                </c:pt>
                <c:pt idx="5">
                  <c:v>1502682.9214</c:v>
                </c:pt>
                <c:pt idx="6">
                  <c:v>663854.4738</c:v>
                </c:pt>
                <c:pt idx="7">
                  <c:v>758369.3376</c:v>
                </c:pt>
                <c:pt idx="8">
                  <c:v>851677.940834467</c:v>
                </c:pt>
                <c:pt idx="9">
                  <c:v>946997.424048313</c:v>
                </c:pt>
                <c:pt idx="10">
                  <c:v>1042306.68414491</c:v>
                </c:pt>
                <c:pt idx="11">
                  <c:v>1137599.27210099</c:v>
                </c:pt>
                <c:pt idx="12">
                  <c:v>1242968.02069588</c:v>
                </c:pt>
                <c:pt idx="13">
                  <c:v>1348276.76784327</c:v>
                </c:pt>
                <c:pt idx="14">
                  <c:v>1456397.97685621</c:v>
                </c:pt>
                <c:pt idx="15">
                  <c:v>1564496.24869901</c:v>
                </c:pt>
                <c:pt idx="16">
                  <c:v>1672571.27450268</c:v>
                </c:pt>
                <c:pt idx="17">
                  <c:v>1781935.44470143</c:v>
                </c:pt>
                <c:pt idx="18">
                  <c:v>1891289.06574721</c:v>
                </c:pt>
                <c:pt idx="19">
                  <c:v>2000632.03183264</c:v>
                </c:pt>
                <c:pt idx="20">
                  <c:v>975248.008921619</c:v>
                </c:pt>
                <c:pt idx="21">
                  <c:v>1087439.41121039</c:v>
                </c:pt>
                <c:pt idx="22">
                  <c:v>1199607.0765308</c:v>
                </c:pt>
                <c:pt idx="23">
                  <c:v>1311775.13838346</c:v>
                </c:pt>
              </c:numCache>
            </c:numRef>
          </c:val>
          <c:smooth val="1"/>
        </c:ser>
        <c:hiLowLines>
          <c:spPr>
            <a:ln w="0">
              <a:noFill/>
            </a:ln>
          </c:spPr>
        </c:hiLowLines>
        <c:marker val="0"/>
        <c:axId val="18011540"/>
        <c:axId val="31252370"/>
      </c:lineChart>
      <c:catAx>
        <c:axId val="18011540"/>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252370"/>
        <c:crosses val="autoZero"/>
        <c:auto val="1"/>
        <c:lblAlgn val="ctr"/>
        <c:lblOffset val="100"/>
        <c:noMultiLvlLbl val="0"/>
      </c:catAx>
      <c:valAx>
        <c:axId val="3125237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011540"/>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57</xdr:row>
      <xdr:rowOff>160920</xdr:rowOff>
    </xdr:from>
    <xdr:to>
      <xdr:col>4</xdr:col>
      <xdr:colOff>730080</xdr:colOff>
      <xdr:row>72</xdr:row>
      <xdr:rowOff>2880</xdr:rowOff>
    </xdr:to>
    <xdr:graphicFrame>
      <xdr:nvGraphicFramePr>
        <xdr:cNvPr id="0" name="Chart 1"/>
        <xdr:cNvGraphicFramePr/>
      </xdr:nvGraphicFramePr>
      <xdr:xfrm>
        <a:off x="0" y="1104912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73</xdr:row>
      <xdr:rowOff>160560</xdr:rowOff>
    </xdr:from>
    <xdr:to>
      <xdr:col>4</xdr:col>
      <xdr:colOff>730080</xdr:colOff>
      <xdr:row>88</xdr:row>
      <xdr:rowOff>2520</xdr:rowOff>
    </xdr:to>
    <xdr:graphicFrame>
      <xdr:nvGraphicFramePr>
        <xdr:cNvPr id="1" name="Chart 2"/>
        <xdr:cNvGraphicFramePr/>
      </xdr:nvGraphicFramePr>
      <xdr:xfrm>
        <a:off x="0" y="1409688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89</xdr:row>
      <xdr:rowOff>160560</xdr:rowOff>
    </xdr:from>
    <xdr:to>
      <xdr:col>4</xdr:col>
      <xdr:colOff>730080</xdr:colOff>
      <xdr:row>104</xdr:row>
      <xdr:rowOff>2880</xdr:rowOff>
    </xdr:to>
    <xdr:graphicFrame>
      <xdr:nvGraphicFramePr>
        <xdr:cNvPr id="2" name="Chart 3"/>
        <xdr:cNvGraphicFramePr/>
      </xdr:nvGraphicFramePr>
      <xdr:xfrm>
        <a:off x="0" y="1714500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105</xdr:row>
      <xdr:rowOff>160920</xdr:rowOff>
    </xdr:from>
    <xdr:to>
      <xdr:col>4</xdr:col>
      <xdr:colOff>730080</xdr:colOff>
      <xdr:row>120</xdr:row>
      <xdr:rowOff>2880</xdr:rowOff>
    </xdr:to>
    <xdr:graphicFrame>
      <xdr:nvGraphicFramePr>
        <xdr:cNvPr id="3" name="Chart 4"/>
        <xdr:cNvGraphicFramePr/>
      </xdr:nvGraphicFramePr>
      <xdr:xfrm>
        <a:off x="0" y="2019312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Relationship Id="rId32" Type="http://schemas.openxmlformats.org/officeDocument/2006/relationships/hyperlink" Target="final.xlsx" TargetMode="External"/><Relationship Id="rId33" Type="http://schemas.openxmlformats.org/officeDocument/2006/relationships/hyperlink" Target="final.xlsx" TargetMode="External"/><Relationship Id="rId34" Type="http://schemas.openxmlformats.org/officeDocument/2006/relationships/hyperlink" Target="final.xlsx" TargetMode="External"/><Relationship Id="rId35"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Serennix AI SAS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78"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Checks!E67</f>
        <v>OK</v>
      </c>
    </row>
    <row r="12" customFormat="false" ht="15" hidden="false" customHeight="false" outlineLevel="0" collapsed="false">
      <c r="B12" s="5" t="s">
        <v>8</v>
      </c>
      <c r="C12" s="9" t="n">
        <f aca="false">PL!$C$15</f>
        <v>6615228.14489467</v>
      </c>
    </row>
    <row r="13" customFormat="false" ht="15" hidden="false" customHeight="false" outlineLevel="0" collapsed="false">
      <c r="B13" s="5" t="s">
        <v>9</v>
      </c>
      <c r="C13" s="10" t="n">
        <f aca="false">PL!$C$27</f>
        <v>0.585325677668676</v>
      </c>
    </row>
    <row r="14" customFormat="false" ht="15" hidden="false" customHeight="false" outlineLevel="0" collapsed="false">
      <c r="B14" s="5" t="s">
        <v>10</v>
      </c>
      <c r="C14" s="9" t="n">
        <f aca="false">PL!$C$44</f>
        <v>-4483458.73454856</v>
      </c>
    </row>
    <row r="15" customFormat="false" ht="15" hidden="false" customHeight="false" outlineLevel="0" collapsed="false">
      <c r="B15" s="5" t="s">
        <v>11</v>
      </c>
      <c r="C15" s="9" t="n">
        <f aca="false">INDEX(BS!$E$9:$AB$9,Assumptions!$C$10)</f>
        <v>9337248.92233333</v>
      </c>
    </row>
    <row r="16" customFormat="false" ht="15" hidden="false" customHeight="false" outlineLevel="0" collapsed="false">
      <c r="B16" s="5" t="s">
        <v>12</v>
      </c>
      <c r="C16" s="9" t="n">
        <f aca="false">Cash_13W!C88</f>
        <v>7830299.82223904</v>
      </c>
    </row>
    <row r="17" customFormat="false" ht="23.85" hidden="false" customHeight="false" outlineLevel="0" collapsed="false">
      <c r="B17" s="5" t="s">
        <v>13</v>
      </c>
      <c r="C17" s="8" t="s">
        <v>14</v>
      </c>
    </row>
    <row r="19" customFormat="false" ht="15" hidden="false" customHeight="false" outlineLevel="0" collapsed="false">
      <c r="B19" s="11" t="s">
        <v>15</v>
      </c>
      <c r="C19" s="11" t="s">
        <v>16</v>
      </c>
      <c r="D19" s="11" t="s">
        <v>17</v>
      </c>
    </row>
    <row r="20" customFormat="false" ht="15" hidden="false" customHeight="false" outlineLevel="0" collapsed="false">
      <c r="B20" s="12" t="s">
        <v>18</v>
      </c>
      <c r="C20" s="13" t="s">
        <v>19</v>
      </c>
      <c r="D20" s="14" t="s">
        <v>20</v>
      </c>
    </row>
    <row r="21" customFormat="false" ht="15" hidden="false" customHeight="false" outlineLevel="0" collapsed="false">
      <c r="B21" s="12" t="s">
        <v>21</v>
      </c>
      <c r="C21" s="13" t="s">
        <v>22</v>
      </c>
      <c r="D21" s="14" t="s">
        <v>20</v>
      </c>
    </row>
    <row r="22" customFormat="false" ht="15" hidden="false" customHeight="false" outlineLevel="0" collapsed="false">
      <c r="B22" s="12" t="s">
        <v>23</v>
      </c>
      <c r="C22" s="13" t="s">
        <v>24</v>
      </c>
      <c r="D22" s="14" t="s">
        <v>25</v>
      </c>
    </row>
    <row r="23" customFormat="false" ht="15" hidden="false" customHeight="false" outlineLevel="0" collapsed="false">
      <c r="B23" s="12" t="s">
        <v>26</v>
      </c>
      <c r="C23" s="13" t="s">
        <v>27</v>
      </c>
      <c r="D23" s="14" t="s">
        <v>20</v>
      </c>
    </row>
    <row r="24" customFormat="false" ht="15" hidden="false" customHeight="false" outlineLevel="0" collapsed="false">
      <c r="B24" s="12" t="s">
        <v>28</v>
      </c>
      <c r="C24" s="13" t="s">
        <v>29</v>
      </c>
      <c r="D24" s="14" t="s">
        <v>20</v>
      </c>
    </row>
    <row r="25" customFormat="false" ht="15" hidden="false" customHeight="false" outlineLevel="0" collapsed="false">
      <c r="B25" s="12" t="s">
        <v>30</v>
      </c>
      <c r="C25" s="13" t="s">
        <v>31</v>
      </c>
      <c r="D25" s="14" t="s">
        <v>32</v>
      </c>
    </row>
    <row r="26" customFormat="false" ht="15" hidden="false" customHeight="false" outlineLevel="0" collapsed="false">
      <c r="B26" s="12" t="s">
        <v>33</v>
      </c>
      <c r="C26" s="13" t="s">
        <v>34</v>
      </c>
      <c r="D26" s="14" t="s">
        <v>32</v>
      </c>
    </row>
    <row r="27" customFormat="false" ht="15" hidden="false" customHeight="false" outlineLevel="0" collapsed="false">
      <c r="B27" s="12" t="s">
        <v>35</v>
      </c>
      <c r="C27" s="13" t="s">
        <v>36</v>
      </c>
      <c r="D27" s="14" t="s">
        <v>32</v>
      </c>
    </row>
    <row r="28" customFormat="false" ht="15" hidden="false" customHeight="false" outlineLevel="0" collapsed="false">
      <c r="B28" s="12" t="s">
        <v>37</v>
      </c>
      <c r="C28" s="13" t="s">
        <v>38</v>
      </c>
      <c r="D28" s="14" t="s">
        <v>39</v>
      </c>
    </row>
    <row r="29" customFormat="false" ht="15" hidden="false" customHeight="false" outlineLevel="0" collapsed="false">
      <c r="B29" s="12" t="s">
        <v>40</v>
      </c>
      <c r="C29" s="13" t="s">
        <v>41</v>
      </c>
      <c r="D29" s="14" t="s">
        <v>39</v>
      </c>
    </row>
    <row r="30" customFormat="false" ht="15" hidden="false" customHeight="false" outlineLevel="0" collapsed="false">
      <c r="B30" s="12" t="s">
        <v>42</v>
      </c>
      <c r="C30" s="13" t="s">
        <v>43</v>
      </c>
      <c r="D30" s="14" t="s">
        <v>39</v>
      </c>
    </row>
    <row r="31" customFormat="false" ht="15" hidden="false" customHeight="false" outlineLevel="0" collapsed="false">
      <c r="B31" s="12" t="s">
        <v>44</v>
      </c>
      <c r="C31" s="13" t="s">
        <v>45</v>
      </c>
      <c r="D31" s="14" t="s">
        <v>39</v>
      </c>
    </row>
    <row r="32" customFormat="false" ht="15" hidden="false" customHeight="false" outlineLevel="0" collapsed="false">
      <c r="B32" s="12" t="s">
        <v>46</v>
      </c>
      <c r="C32" s="13" t="s">
        <v>47</v>
      </c>
      <c r="D32" s="14" t="s">
        <v>48</v>
      </c>
    </row>
    <row r="33" customFormat="false" ht="15" hidden="false" customHeight="false" outlineLevel="0" collapsed="false">
      <c r="B33" s="12" t="s">
        <v>49</v>
      </c>
      <c r="C33" s="13" t="s">
        <v>50</v>
      </c>
      <c r="D33" s="14" t="s">
        <v>48</v>
      </c>
    </row>
    <row r="34" customFormat="false" ht="15" hidden="false" customHeight="false" outlineLevel="0" collapsed="false">
      <c r="B34" s="12" t="s">
        <v>51</v>
      </c>
      <c r="C34" s="13" t="s">
        <v>52</v>
      </c>
      <c r="D34" s="14" t="s">
        <v>48</v>
      </c>
    </row>
    <row r="35" customFormat="false" ht="15" hidden="false" customHeight="false" outlineLevel="0" collapsed="false">
      <c r="B35" s="12" t="s">
        <v>53</v>
      </c>
      <c r="C35" s="13" t="s">
        <v>54</v>
      </c>
      <c r="D35" s="14" t="s">
        <v>48</v>
      </c>
    </row>
    <row r="36" customFormat="false" ht="15" hidden="false" customHeight="false" outlineLevel="0" collapsed="false">
      <c r="B36" s="12" t="s">
        <v>55</v>
      </c>
      <c r="C36" s="13" t="s">
        <v>56</v>
      </c>
      <c r="D36" s="14" t="s">
        <v>48</v>
      </c>
    </row>
    <row r="37" customFormat="false" ht="15" hidden="false" customHeight="false" outlineLevel="0" collapsed="false">
      <c r="B37" s="12" t="s">
        <v>57</v>
      </c>
      <c r="C37" s="13" t="s">
        <v>58</v>
      </c>
      <c r="D37" s="14" t="s">
        <v>39</v>
      </c>
    </row>
    <row r="38" customFormat="false" ht="15" hidden="false" customHeight="false" outlineLevel="0" collapsed="false">
      <c r="B38" s="12" t="s">
        <v>59</v>
      </c>
      <c r="C38" s="13" t="s">
        <v>60</v>
      </c>
      <c r="D38" s="14" t="s">
        <v>39</v>
      </c>
    </row>
    <row r="39" customFormat="false" ht="15" hidden="false" customHeight="false" outlineLevel="0" collapsed="false">
      <c r="B39" s="12" t="s">
        <v>61</v>
      </c>
      <c r="C39" s="13" t="s">
        <v>62</v>
      </c>
      <c r="D39" s="14" t="s">
        <v>48</v>
      </c>
    </row>
    <row r="40" customFormat="false" ht="15" hidden="false" customHeight="false" outlineLevel="0" collapsed="false">
      <c r="B40" s="12" t="s">
        <v>63</v>
      </c>
      <c r="C40" s="13" t="s">
        <v>64</v>
      </c>
      <c r="D40" s="14" t="s">
        <v>48</v>
      </c>
    </row>
    <row r="41" customFormat="false" ht="15" hidden="false" customHeight="false" outlineLevel="0" collapsed="false">
      <c r="B41" s="12" t="s">
        <v>65</v>
      </c>
      <c r="C41" s="13" t="s">
        <v>66</v>
      </c>
      <c r="D41" s="14" t="s">
        <v>48</v>
      </c>
    </row>
    <row r="42" customFormat="false" ht="15" hidden="false" customHeight="false" outlineLevel="0" collapsed="false">
      <c r="B42" s="12" t="s">
        <v>67</v>
      </c>
      <c r="C42" s="13" t="s">
        <v>68</v>
      </c>
      <c r="D42" s="14" t="s">
        <v>48</v>
      </c>
    </row>
    <row r="43" customFormat="false" ht="15" hidden="false" customHeight="false" outlineLevel="0" collapsed="false">
      <c r="B43" s="12" t="s">
        <v>69</v>
      </c>
      <c r="C43" s="13" t="s">
        <v>70</v>
      </c>
      <c r="D43" s="14" t="s">
        <v>48</v>
      </c>
    </row>
    <row r="44" customFormat="false" ht="15" hidden="false" customHeight="false" outlineLevel="0" collapsed="false">
      <c r="B44" s="12" t="s">
        <v>71</v>
      </c>
      <c r="C44" s="13" t="s">
        <v>72</v>
      </c>
      <c r="D44" s="14" t="s">
        <v>48</v>
      </c>
    </row>
    <row r="45" customFormat="false" ht="15" hidden="false" customHeight="false" outlineLevel="0" collapsed="false">
      <c r="B45" s="12" t="s">
        <v>73</v>
      </c>
      <c r="C45" s="13" t="s">
        <v>74</v>
      </c>
      <c r="D45" s="14" t="s">
        <v>48</v>
      </c>
    </row>
    <row r="46" customFormat="false" ht="15" hidden="false" customHeight="false" outlineLevel="0" collapsed="false">
      <c r="B46" s="12" t="s">
        <v>75</v>
      </c>
      <c r="C46" s="13" t="s">
        <v>76</v>
      </c>
      <c r="D46" s="14" t="s">
        <v>48</v>
      </c>
    </row>
    <row r="47" customFormat="false" ht="15" hidden="false" customHeight="false" outlineLevel="0" collapsed="false">
      <c r="B47" s="12" t="s">
        <v>77</v>
      </c>
      <c r="C47" s="13" t="s">
        <v>78</v>
      </c>
      <c r="D47" s="14" t="s">
        <v>48</v>
      </c>
    </row>
    <row r="48" customFormat="false" ht="15" hidden="false" customHeight="false" outlineLevel="0" collapsed="false">
      <c r="B48" s="12" t="s">
        <v>79</v>
      </c>
      <c r="C48" s="13" t="s">
        <v>80</v>
      </c>
      <c r="D48" s="14" t="s">
        <v>48</v>
      </c>
    </row>
    <row r="49" customFormat="false" ht="15" hidden="false" customHeight="false" outlineLevel="0" collapsed="false">
      <c r="B49" s="12" t="s">
        <v>81</v>
      </c>
      <c r="C49" s="13" t="s">
        <v>82</v>
      </c>
      <c r="D49" s="14" t="s">
        <v>48</v>
      </c>
    </row>
    <row r="50" customFormat="false" ht="15" hidden="false" customHeight="false" outlineLevel="0" collapsed="false">
      <c r="B50" s="12" t="s">
        <v>83</v>
      </c>
      <c r="C50" s="13" t="s">
        <v>84</v>
      </c>
      <c r="D50" s="14" t="s">
        <v>85</v>
      </c>
    </row>
    <row r="51" customFormat="false" ht="15" hidden="false" customHeight="false" outlineLevel="0" collapsed="false">
      <c r="B51" s="12" t="s">
        <v>86</v>
      </c>
      <c r="C51" s="13" t="s">
        <v>87</v>
      </c>
      <c r="D51" s="14" t="s">
        <v>85</v>
      </c>
    </row>
    <row r="52" customFormat="false" ht="15" hidden="false" customHeight="false" outlineLevel="0" collapsed="false">
      <c r="B52" s="12" t="s">
        <v>88</v>
      </c>
      <c r="C52" s="13" t="s">
        <v>89</v>
      </c>
      <c r="D52" s="14" t="s">
        <v>85</v>
      </c>
    </row>
    <row r="53" customFormat="false" ht="15" hidden="false" customHeight="false" outlineLevel="0" collapsed="false">
      <c r="B53" s="12" t="s">
        <v>90</v>
      </c>
      <c r="C53" s="13" t="s">
        <v>91</v>
      </c>
      <c r="D53" s="14" t="s">
        <v>85</v>
      </c>
    </row>
    <row r="54" customFormat="false" ht="15" hidden="false" customHeight="false" outlineLevel="0" collapsed="false">
      <c r="B54" s="12" t="s">
        <v>92</v>
      </c>
      <c r="C54" s="13" t="s">
        <v>93</v>
      </c>
      <c r="D54" s="14" t="s">
        <v>85</v>
      </c>
    </row>
    <row r="56" customFormat="false" ht="15" hidden="false" customHeight="false" outlineLevel="0" collapsed="false">
      <c r="B56" s="5" t="s">
        <v>94</v>
      </c>
    </row>
    <row r="57" customFormat="false" ht="15" hidden="false" customHeight="false" outlineLevel="0" collapsed="false">
      <c r="B57" s="15" t="s">
        <v>95</v>
      </c>
    </row>
    <row r="58" customFormat="false" ht="15" hidden="false" customHeight="false" outlineLevel="0" collapsed="false">
      <c r="B58" s="16" t="s">
        <v>96</v>
      </c>
    </row>
    <row r="59" customFormat="false" ht="15" hidden="false" customHeight="false" outlineLevel="0" collapsed="false">
      <c r="B59" s="17" t="s">
        <v>97</v>
      </c>
    </row>
    <row r="60" customFormat="false" ht="15" hidden="false" customHeight="false" outlineLevel="0" collapsed="false">
      <c r="B60" s="18" t="s">
        <v>98</v>
      </c>
    </row>
    <row r="61" customFormat="false" ht="15" hidden="false" customHeight="false" outlineLevel="0" collapsed="false">
      <c r="B61" s="19" t="s">
        <v>99</v>
      </c>
    </row>
  </sheetData>
  <mergeCells count="1">
    <mergeCell ref="B6:E6"/>
  </mergeCells>
  <hyperlinks>
    <hyperlink ref="B20" r:id="rId1" location="'Cover'!A1" display="Cover"/>
    <hyperlink ref="B21" r:id="rId2" location="'Guide'!A1" display="Guide"/>
    <hyperlink ref="B22" r:id="rId3" location="'Checks'!A1" display="Checks"/>
    <hyperlink ref="B23" r:id="rId4" location="'CFO_Report'!A1" display="CFO_Report"/>
    <hyperlink ref="B24" r:id="rId5" location="'KPIs'!A1" display="KPIs"/>
    <hyperlink ref="B25" r:id="rId6" location="'PL'!A1" display="PL"/>
    <hyperlink ref="B26" r:id="rId7" location="'BS'!A1" display="BS"/>
    <hyperlink ref="B27" r:id="rId8" location="'CF'!A1" display="CF"/>
    <hyperlink ref="B28" r:id="rId9" location="'BvA'!A1" display="BvA"/>
    <hyperlink ref="B29" r:id="rId10" location="'Scenarios'!A1" display="Scenarios"/>
    <hyperlink ref="B30" r:id="rId11" location="'Cash_13W'!A1" display="Cash_13W"/>
    <hyperlink ref="B31" r:id="rId12" location="'Revenue'!A1" display="Revenue"/>
    <hyperlink ref="B32" r:id="rId13" location="'Credits'!A1" display="Credits"/>
    <hyperlink ref="B33" r:id="rId14" location="'Team'!A1" display="Team"/>
    <hyperlink ref="B34" r:id="rId15" location="'Enterprise'!A1" display="Enterprise"/>
    <hyperlink ref="B35" r:id="rId16" location="'Usage_Compute'!A1" display="Usage_Compute"/>
    <hyperlink ref="B36" r:id="rId17" location="'Commitments'!A1" display="Commitments"/>
    <hyperlink ref="B37" r:id="rId18" location="'Unit_Costs'!A1" display="Unit_Costs"/>
    <hyperlink ref="B38" r:id="rId19" location="'Margins'!A1" display="Margins"/>
    <hyperlink ref="B39" r:id="rId20" location="'People'!A1" display="People"/>
    <hyperlink ref="B40" r:id="rId21" location="'Research_Credit'!A1" display="Research_Credit"/>
    <hyperlink ref="B41" r:id="rId22" location="'Receivables'!A1" display="Receivables"/>
    <hyperlink ref="B42" r:id="rId23" location="'AR_Aging'!A1" display="AR_Aging"/>
    <hyperlink ref="B43" r:id="rId24" location="'AP_Aging'!A1" display="AP_Aging"/>
    <hyperlink ref="B44" r:id="rId25" location="'Payables'!A1" display="Payables"/>
    <hyperlink ref="B45" r:id="rId26" location="'VAT'!A1" display="VAT"/>
    <hyperlink ref="B46" r:id="rId27" location="'Tax'!A1" display="Tax"/>
    <hyperlink ref="B47" r:id="rId28" location="'Overheads'!A1" display="Overheads"/>
    <hyperlink ref="B48" r:id="rId29" location="'Fixed_Assets'!A1" display="Fixed_Assets"/>
    <hyperlink ref="B49" r:id="rId30" location="'Treasury'!A1" display="Treasury"/>
    <hyperlink ref="B50" r:id="rId31" location="'Account_Register'!A1" display="Account_Register"/>
    <hyperlink ref="B51" r:id="rId32" location="'Assumptions'!A1" display="Assumptions"/>
    <hyperlink ref="B52" r:id="rId33" location="'Inputs_Actuals'!A1" display="Inputs_Actuals"/>
    <hyperlink ref="B53" r:id="rId34" location="'History'!A1" display="History"/>
    <hyperlink ref="B54" r:id="rId35"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100</v>
      </c>
    </row>
    <row r="4" customFormat="false" ht="15" hidden="false" customHeight="false" outlineLevel="0" collapsed="false">
      <c r="A4" s="22" t="s">
        <v>101</v>
      </c>
      <c r="B4" s="23"/>
    </row>
    <row r="5" customFormat="false" ht="105" hidden="false" customHeight="true" outlineLevel="0" collapsed="false">
      <c r="A5" s="24" t="s">
        <v>102</v>
      </c>
      <c r="B5" s="24"/>
    </row>
    <row r="6" customFormat="false" ht="45" hidden="false" customHeight="true" outlineLevel="0" collapsed="false">
      <c r="A6" s="24" t="s">
        <v>103</v>
      </c>
      <c r="B6" s="24"/>
    </row>
    <row r="8" customFormat="false" ht="15" hidden="false" customHeight="false" outlineLevel="0" collapsed="false">
      <c r="A8" s="22" t="s">
        <v>104</v>
      </c>
      <c r="B8" s="23"/>
    </row>
    <row r="9" customFormat="false" ht="90" hidden="false" customHeight="true" outlineLevel="0" collapsed="false">
      <c r="A9" s="24" t="s">
        <v>105</v>
      </c>
      <c r="B9" s="24"/>
    </row>
    <row r="10" customFormat="false" ht="60" hidden="false" customHeight="true" outlineLevel="0" collapsed="false">
      <c r="A10" s="24" t="s">
        <v>106</v>
      </c>
      <c r="B10" s="24"/>
    </row>
    <row r="11" customFormat="false" ht="45" hidden="false" customHeight="true" outlineLevel="0" collapsed="false">
      <c r="A11" s="24" t="s">
        <v>107</v>
      </c>
      <c r="B11" s="24"/>
    </row>
    <row r="12" customFormat="false" ht="30" hidden="false" customHeight="true" outlineLevel="0" collapsed="false">
      <c r="A12" s="24" t="s">
        <v>108</v>
      </c>
      <c r="B12" s="24"/>
    </row>
    <row r="14" customFormat="false" ht="15" hidden="false" customHeight="false" outlineLevel="0" collapsed="false">
      <c r="A14" s="22" t="s">
        <v>109</v>
      </c>
      <c r="B14" s="23"/>
    </row>
    <row r="15" customFormat="false" ht="75" hidden="false" customHeight="true" outlineLevel="0" collapsed="false">
      <c r="A15" s="24" t="s">
        <v>110</v>
      </c>
      <c r="B15" s="24"/>
    </row>
    <row r="16" customFormat="false" ht="30" hidden="false" customHeight="true" outlineLevel="0" collapsed="false">
      <c r="A16" s="24" t="s">
        <v>111</v>
      </c>
      <c r="B16" s="24"/>
    </row>
    <row r="17" customFormat="false" ht="75" hidden="false" customHeight="true" outlineLevel="0" collapsed="false">
      <c r="A17" s="24" t="s">
        <v>112</v>
      </c>
      <c r="B17" s="24"/>
    </row>
    <row r="18" customFormat="false" ht="30" hidden="false" customHeight="true" outlineLevel="0" collapsed="false">
      <c r="A18" s="24" t="s">
        <v>113</v>
      </c>
      <c r="B18" s="24"/>
    </row>
    <row r="19" customFormat="false" ht="30" hidden="false" customHeight="true" outlineLevel="0" collapsed="false">
      <c r="A19" s="24" t="s">
        <v>114</v>
      </c>
      <c r="B19" s="24"/>
    </row>
    <row r="21" customFormat="false" ht="15" hidden="false" customHeight="false" outlineLevel="0" collapsed="false">
      <c r="A21" s="22" t="s">
        <v>115</v>
      </c>
      <c r="B21" s="23"/>
    </row>
    <row r="22" customFormat="false" ht="60" hidden="false" customHeight="true" outlineLevel="0" collapsed="false">
      <c r="A22" s="24" t="s">
        <v>116</v>
      </c>
      <c r="B22" s="24"/>
    </row>
    <row r="23" customFormat="false" ht="45" hidden="false" customHeight="true" outlineLevel="0" collapsed="false">
      <c r="A23" s="24" t="s">
        <v>117</v>
      </c>
      <c r="B23" s="24"/>
    </row>
    <row r="24" customFormat="false" ht="45" hidden="false" customHeight="true" outlineLevel="0" collapsed="false">
      <c r="A24" s="24" t="s">
        <v>118</v>
      </c>
      <c r="B24" s="24"/>
    </row>
    <row r="25" customFormat="false" ht="30" hidden="false" customHeight="true" outlineLevel="0" collapsed="false">
      <c r="A25" s="24" t="s">
        <v>119</v>
      </c>
      <c r="B25" s="24"/>
    </row>
    <row r="26" customFormat="false" ht="30" hidden="false" customHeight="true" outlineLevel="0" collapsed="false">
      <c r="A26" s="24" t="s">
        <v>120</v>
      </c>
      <c r="B26" s="24"/>
    </row>
    <row r="28" customFormat="false" ht="15" hidden="false" customHeight="false" outlineLevel="0" collapsed="false">
      <c r="A28" s="22" t="s">
        <v>121</v>
      </c>
      <c r="B28" s="23"/>
    </row>
    <row r="29" customFormat="false" ht="75" hidden="false" customHeight="true" outlineLevel="0" collapsed="false">
      <c r="A29" s="24" t="s">
        <v>122</v>
      </c>
      <c r="B29" s="24"/>
    </row>
    <row r="30" customFormat="false" ht="30" hidden="false" customHeight="true" outlineLevel="0" collapsed="false">
      <c r="A30" s="24" t="s">
        <v>123</v>
      </c>
      <c r="B30" s="24"/>
    </row>
    <row r="31" customFormat="false" ht="45" hidden="false" customHeight="true" outlineLevel="0" collapsed="false">
      <c r="A31" s="24" t="s">
        <v>124</v>
      </c>
      <c r="B31" s="24"/>
    </row>
    <row r="32" customFormat="false" ht="75" hidden="false" customHeight="true" outlineLevel="0" collapsed="false">
      <c r="A32" s="24" t="s">
        <v>125</v>
      </c>
      <c r="B32" s="24"/>
    </row>
    <row r="33" customFormat="false" ht="45" hidden="false" customHeight="true" outlineLevel="0" collapsed="false">
      <c r="A33" s="24" t="s">
        <v>126</v>
      </c>
      <c r="B33" s="24"/>
    </row>
    <row r="35" customFormat="false" ht="15" hidden="false" customHeight="false" outlineLevel="0" collapsed="false">
      <c r="A35" s="22" t="s">
        <v>127</v>
      </c>
      <c r="B35" s="23"/>
    </row>
    <row r="36" customFormat="false" ht="30" hidden="false" customHeight="true" outlineLevel="0" collapsed="false">
      <c r="A36" s="24" t="s">
        <v>128</v>
      </c>
      <c r="B36" s="24"/>
    </row>
    <row r="37" customFormat="false" ht="30" hidden="false" customHeight="true" outlineLevel="0" collapsed="false">
      <c r="A37" s="24" t="s">
        <v>129</v>
      </c>
      <c r="B37" s="24"/>
    </row>
    <row r="38" customFormat="false" ht="30" hidden="false" customHeight="true" outlineLevel="0" collapsed="false">
      <c r="A38" s="24" t="s">
        <v>130</v>
      </c>
      <c r="B38" s="24"/>
    </row>
    <row r="39" customFormat="false" ht="30" hidden="false" customHeight="true" outlineLevel="0" collapsed="false">
      <c r="A39" s="24" t="s">
        <v>131</v>
      </c>
      <c r="B39" s="24"/>
    </row>
    <row r="41" customFormat="false" ht="15" hidden="false" customHeight="false" outlineLevel="0" collapsed="false">
      <c r="A41" s="22" t="s">
        <v>132</v>
      </c>
      <c r="B41" s="23"/>
    </row>
    <row r="42" customFormat="false" ht="60" hidden="false" customHeight="true" outlineLevel="0" collapsed="false">
      <c r="A42" s="24" t="s">
        <v>133</v>
      </c>
      <c r="B42" s="24"/>
    </row>
    <row r="43" customFormat="false" ht="30" hidden="false" customHeight="true" outlineLevel="0" collapsed="false">
      <c r="A43" s="24" t="s">
        <v>134</v>
      </c>
      <c r="B43" s="24"/>
    </row>
    <row r="44" customFormat="false" ht="30" hidden="false" customHeight="true" outlineLevel="0" collapsed="false">
      <c r="A44" s="24" t="s">
        <v>135</v>
      </c>
      <c r="B44" s="24"/>
    </row>
    <row r="45" customFormat="false" ht="30" hidden="false" customHeight="true" outlineLevel="0" collapsed="false">
      <c r="A45" s="24" t="s">
        <v>136</v>
      </c>
      <c r="B45" s="24"/>
    </row>
    <row r="46" customFormat="false" ht="30" hidden="false" customHeight="true" outlineLevel="0" collapsed="false">
      <c r="A46" s="24" t="s">
        <v>137</v>
      </c>
      <c r="B46" s="24"/>
    </row>
    <row r="48" customFormat="false" ht="15" hidden="false" customHeight="false" outlineLevel="0" collapsed="false">
      <c r="A48" s="22" t="s">
        <v>138</v>
      </c>
      <c r="B48" s="23"/>
    </row>
    <row r="49" customFormat="false" ht="45" hidden="false" customHeight="true" outlineLevel="0" collapsed="false">
      <c r="A49" s="24" t="s">
        <v>139</v>
      </c>
      <c r="B49" s="24"/>
    </row>
    <row r="51" customFormat="false" ht="15" hidden="false" customHeight="false" outlineLevel="0" collapsed="false">
      <c r="A51" s="22" t="s">
        <v>140</v>
      </c>
      <c r="B51" s="23"/>
    </row>
    <row r="52" customFormat="false" ht="30" hidden="false" customHeight="true" outlineLevel="0" collapsed="false">
      <c r="A52" s="24" t="s">
        <v>141</v>
      </c>
      <c r="B52" s="24"/>
    </row>
    <row r="53" customFormat="false" ht="45" hidden="false" customHeight="true" outlineLevel="0" collapsed="false">
      <c r="A53" s="24" t="s">
        <v>142</v>
      </c>
      <c r="B53" s="24"/>
    </row>
    <row r="54" customFormat="false" ht="30" hidden="false" customHeight="true" outlineLevel="0" collapsed="false">
      <c r="A54" s="24" t="s">
        <v>143</v>
      </c>
      <c r="B54" s="24"/>
    </row>
    <row r="55" customFormat="false" ht="30" hidden="false" customHeight="true" outlineLevel="0" collapsed="false">
      <c r="A55" s="24" t="s">
        <v>144</v>
      </c>
      <c r="B55" s="24"/>
    </row>
    <row r="56" customFormat="false" ht="30" hidden="false" customHeight="true" outlineLevel="0" collapsed="false">
      <c r="A56" s="24" t="s">
        <v>145</v>
      </c>
      <c r="B56" s="24"/>
    </row>
    <row r="58" customFormat="false" ht="15" hidden="false" customHeight="false" outlineLevel="0" collapsed="false">
      <c r="A58" s="22" t="s">
        <v>146</v>
      </c>
      <c r="B58" s="23"/>
    </row>
    <row r="59" customFormat="false" ht="30" hidden="false" customHeight="true" outlineLevel="0" collapsed="false">
      <c r="A59" s="24" t="s">
        <v>147</v>
      </c>
      <c r="B59" s="24"/>
    </row>
    <row r="60" customFormat="false" ht="30" hidden="false" customHeight="true" outlineLevel="0" collapsed="false">
      <c r="A60" s="24" t="s">
        <v>148</v>
      </c>
      <c r="B60" s="24"/>
    </row>
    <row r="61" customFormat="false" ht="30" hidden="false" customHeight="true" outlineLevel="0" collapsed="false">
      <c r="A61" s="24" t="s">
        <v>149</v>
      </c>
      <c r="B61" s="24"/>
    </row>
    <row r="62" customFormat="false" ht="30" hidden="false" customHeight="true" outlineLevel="0" collapsed="false">
      <c r="A62" s="24" t="s">
        <v>150</v>
      </c>
      <c r="B62" s="24"/>
    </row>
    <row r="63" customFormat="false" ht="15" hidden="false" customHeight="true" outlineLevel="0" collapsed="false">
      <c r="A63" s="24" t="s">
        <v>151</v>
      </c>
      <c r="B63" s="24"/>
    </row>
  </sheetData>
  <mergeCells count="41">
    <mergeCell ref="A5:B5"/>
    <mergeCell ref="A6:B6"/>
    <mergeCell ref="A9:B9"/>
    <mergeCell ref="A10:B10"/>
    <mergeCell ref="A11:B11"/>
    <mergeCell ref="A12:B12"/>
    <mergeCell ref="A15:B15"/>
    <mergeCell ref="A16:B16"/>
    <mergeCell ref="A17:B17"/>
    <mergeCell ref="A18:B18"/>
    <mergeCell ref="A19:B19"/>
    <mergeCell ref="A22:B22"/>
    <mergeCell ref="A23:B23"/>
    <mergeCell ref="A24:B24"/>
    <mergeCell ref="A25:B25"/>
    <mergeCell ref="A26:B26"/>
    <mergeCell ref="A29:B29"/>
    <mergeCell ref="A30:B30"/>
    <mergeCell ref="A31:B31"/>
    <mergeCell ref="A32:B32"/>
    <mergeCell ref="A33:B33"/>
    <mergeCell ref="A36:B36"/>
    <mergeCell ref="A37:B37"/>
    <mergeCell ref="A38:B38"/>
    <mergeCell ref="A39:B39"/>
    <mergeCell ref="A42:B42"/>
    <mergeCell ref="A43:B43"/>
    <mergeCell ref="A44:B44"/>
    <mergeCell ref="A45:B45"/>
    <mergeCell ref="A46:B46"/>
    <mergeCell ref="A49:B49"/>
    <mergeCell ref="A52:B52"/>
    <mergeCell ref="A53:B53"/>
    <mergeCell ref="A54:B54"/>
    <mergeCell ref="A55:B55"/>
    <mergeCell ref="A56:B56"/>
    <mergeCell ref="A59:B59"/>
    <mergeCell ref="A60:B60"/>
    <mergeCell ref="A61:B61"/>
    <mergeCell ref="A62:B62"/>
    <mergeCell ref="A63:B6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152</v>
      </c>
    </row>
    <row r="3" customFormat="false" ht="15" hidden="false" customHeight="false" outlineLevel="0" collapsed="false">
      <c r="A3" s="25" t="s">
        <v>153</v>
      </c>
    </row>
    <row r="5" customFormat="false" ht="15" hidden="false" customHeight="false" outlineLevel="0" collapsed="false">
      <c r="A5" s="26" t="s">
        <v>154</v>
      </c>
      <c r="B5" s="27" t="s">
        <v>155</v>
      </c>
      <c r="C5" s="27" t="s">
        <v>156</v>
      </c>
      <c r="D5" s="27" t="s">
        <v>157</v>
      </c>
      <c r="E5" s="27" t="s">
        <v>158</v>
      </c>
    </row>
    <row r="6" customFormat="false" ht="15" hidden="false" customHeight="false" outlineLevel="0" collapsed="false">
      <c r="A6" s="22" t="s">
        <v>159</v>
      </c>
      <c r="B6" s="23"/>
      <c r="C6" s="23"/>
      <c r="D6" s="23"/>
      <c r="E6" s="23"/>
    </row>
    <row r="7" customFormat="false" ht="15" hidden="false" customHeight="false" outlineLevel="0" collapsed="false">
      <c r="A7" s="28" t="s">
        <v>160</v>
      </c>
      <c r="B7" s="14" t="s">
        <v>161</v>
      </c>
      <c r="C7" s="29" t="n">
        <f aca="false">SUMPRODUCT(ABS(BS!$E$49:$AB$49))</f>
        <v>0</v>
      </c>
      <c r="D7" s="30" t="n">
        <v>0.5</v>
      </c>
      <c r="E7" s="31" t="str">
        <f aca="false">IF(ABS(C7)&lt;=D7,"OK","CHECK")</f>
        <v>OK</v>
      </c>
    </row>
    <row r="8" customFormat="false" ht="15" hidden="false" customHeight="false" outlineLevel="0" collapsed="false">
      <c r="A8" s="28" t="s">
        <v>162</v>
      </c>
      <c r="B8" s="14" t="s">
        <v>163</v>
      </c>
      <c r="C8" s="29" t="n">
        <f aca="false">SUMPRODUCT(ABS(CF!$E$52:$AB$52))</f>
        <v>0</v>
      </c>
      <c r="D8" s="30" t="n">
        <v>0.5</v>
      </c>
      <c r="E8" s="31" t="str">
        <f aca="false">IF(ABS(C8)&lt;=D8,"OK","CHECK")</f>
        <v>OK</v>
      </c>
    </row>
    <row r="9" customFormat="false" ht="15" hidden="false" customHeight="false" outlineLevel="0" collapsed="false">
      <c r="A9" s="28" t="s">
        <v>164</v>
      </c>
      <c r="B9" s="14" t="s">
        <v>165</v>
      </c>
      <c r="C9" s="29" t="n">
        <f aca="false">SUMPRODUCT(ABS(CF!$E$30:$AB$30-BS!$E$9:$AB$9))</f>
        <v>0</v>
      </c>
      <c r="D9" s="30" t="n">
        <v>0.5</v>
      </c>
      <c r="E9" s="31" t="str">
        <f aca="false">IF(ABS(C9)&lt;=D9,"OK","CHECK")</f>
        <v>OK</v>
      </c>
    </row>
    <row r="10" customFormat="false" ht="15" hidden="false" customHeight="false" outlineLevel="0" collapsed="false">
      <c r="A10" s="28" t="s">
        <v>166</v>
      </c>
      <c r="B10" s="14" t="s">
        <v>167</v>
      </c>
      <c r="C10" s="29" t="n">
        <f aca="false">BS!AB46-(Inputs_Actuals!$C$203+SUM(BS!$E$45:$AB$45))</f>
        <v>0</v>
      </c>
      <c r="D10" s="30" t="n">
        <v>0.5</v>
      </c>
      <c r="E10" s="31" t="str">
        <f aca="false">IF(ABS(C10)&lt;=D10,"OK","CHECK")</f>
        <v>OK</v>
      </c>
    </row>
    <row r="11" customFormat="false" ht="15" hidden="false" customHeight="false" outlineLevel="0" collapsed="false">
      <c r="A11" s="28" t="s">
        <v>168</v>
      </c>
      <c r="B11" s="14" t="s">
        <v>169</v>
      </c>
      <c r="C11" s="29" t="n">
        <f aca="false">ROUND((Inputs_Actuals!$C$174+Inputs_Actuals!$C$175+Inputs_Actuals!$C$176+Inputs_Actuals!$C$177+Inputs_Actuals!$C$178+Inputs_Actuals!$C$179+Inputs_Actuals!$C$180+Inputs_Actuals!$C$181+Inputs_Actuals!$C$182-Inputs_Actuals!$C$183+Inputs_Actuals!$C$184-Inputs_Actuals!$C$185)-(Inputs_Actuals!$C$186+Inputs_Actuals!$C$187+Inputs_Actuals!$C$188+Inputs_Actuals!$C$189+Inputs_Actuals!$C$190+Inputs_Actuals!$C$191+Inputs_Actuals!$C$192+Inputs_Actuals!$C$193+Inputs_Actuals!$C$194+Inputs_Actuals!$C$195+Inputs_Actuals!$C$196+Inputs_Actuals!$C$197+Inputs_Actuals!$C$198+Inputs_Actuals!$C$199+Inputs_Actuals!$C$200)-Inputs_Actuals!$C$201-Inputs_Actuals!$C$202-Inputs_Actuals!$C$203,2)</f>
        <v>0</v>
      </c>
      <c r="D11" s="30" t="n">
        <v>0.5</v>
      </c>
      <c r="E11" s="31" t="str">
        <f aca="false">IF(ABS(C11)&lt;=D11,"OK","CHECK")</f>
        <v>OK</v>
      </c>
    </row>
    <row r="12" customFormat="false" ht="15" hidden="false" customHeight="false" outlineLevel="0" collapsed="false">
      <c r="A12" s="22" t="s">
        <v>170</v>
      </c>
      <c r="B12" s="23"/>
      <c r="C12" s="23"/>
      <c r="D12" s="23"/>
      <c r="E12" s="23"/>
    </row>
    <row r="13" customFormat="false" ht="15" hidden="false" customHeight="false" outlineLevel="0" collapsed="false">
      <c r="A13" s="28" t="s">
        <v>171</v>
      </c>
      <c r="B13" s="14" t="s">
        <v>172</v>
      </c>
      <c r="C13" s="29" t="n">
        <f aca="false">SUMPRODUCT(ABS(Credits!$E$58:$AB$58))</f>
        <v>0</v>
      </c>
      <c r="D13" s="30" t="n">
        <v>0.5</v>
      </c>
      <c r="E13" s="31" t="str">
        <f aca="false">IF(ABS(C13)&lt;=D13,"OK","CHECK")</f>
        <v>OK</v>
      </c>
    </row>
    <row r="14" customFormat="false" ht="15" hidden="false" customHeight="false" outlineLevel="0" collapsed="false">
      <c r="A14" s="28" t="s">
        <v>173</v>
      </c>
      <c r="B14" s="14" t="s">
        <v>174</v>
      </c>
      <c r="C14" s="29" t="n">
        <f aca="false">ROUND(Inputs_Actuals!$C$191-(History!$C$89-History!$D$89/(1-Assumptions!$C$119)+History!$C$90-History!$D$90/(1-Assumptions!$C$119)+History!$C$91-History!$D$91/(1-Assumptions!$C$119)+History!$C$92-History!$D$92/(1-Assumptions!$C$119)+History!$C$93-History!$D$93/(1-Assumptions!$C$119)+History!$C$94-History!$D$94/(1-Assumptions!$C$119)+History!$C$95-History!$D$95/(1-Assumptions!$C$119)+History!$C$96-History!$D$96/(1-Assumptions!$C$119)+History!$C$97-History!$D$97/(1-Assumptions!$C$119)+History!$C$98-History!$D$98/(1-Assumptions!$C$119)+History!$C$99-History!$D$99/(1-Assumptions!$C$119)+History!$C$100-History!$D$100/(1-Assumptions!$C$119)),0)</f>
        <v>-0</v>
      </c>
      <c r="D14" s="30" t="n">
        <v>0.5</v>
      </c>
      <c r="E14" s="31" t="str">
        <f aca="false">IF(ABS(C14)&lt;=D14,"OK","CHECK")</f>
        <v>OK</v>
      </c>
    </row>
    <row r="15" customFormat="false" ht="15" hidden="false" customHeight="false" outlineLevel="0" collapsed="false">
      <c r="A15" s="28" t="s">
        <v>175</v>
      </c>
      <c r="B15" s="14" t="s">
        <v>176</v>
      </c>
      <c r="C15" s="32" t="n">
        <f aca="false">ROUND(Assumptions!$C$124-(1-Assumptions!$C$119),6)</f>
        <v>0</v>
      </c>
      <c r="D15" s="30" t="n">
        <v>1E-006</v>
      </c>
      <c r="E15" s="31" t="str">
        <f aca="false">IF(ABS(C15)&lt;=D15,"OK","CHECK")</f>
        <v>OK</v>
      </c>
    </row>
    <row r="16" customFormat="false" ht="15" hidden="false" customHeight="false" outlineLevel="0" collapsed="false">
      <c r="A16" s="28" t="s">
        <v>177</v>
      </c>
      <c r="B16" s="14" t="s">
        <v>178</v>
      </c>
      <c r="C16" s="32" t="n">
        <f aca="false">SUMPRODUCT(ABS(Team!$E$13:$AB$13))</f>
        <v>0</v>
      </c>
      <c r="D16" s="30" t="n">
        <v>0.001</v>
      </c>
      <c r="E16" s="31" t="str">
        <f aca="false">IF(ABS(C16)&lt;=D16,"OK","CHECK")</f>
        <v>OK</v>
      </c>
    </row>
    <row r="17" customFormat="false" ht="15" hidden="false" customHeight="false" outlineLevel="0" collapsed="false">
      <c r="A17" s="28" t="s">
        <v>179</v>
      </c>
      <c r="B17" s="14" t="s">
        <v>180</v>
      </c>
      <c r="C17" s="29" t="n">
        <f aca="false">ROUND(ABS(Enterprise!I177)+ABS(Enterprise!U177)+ABS(Enterprise!M178)+ABS(Enterprise!Y178)+ABS(Enterprise!E179)+ABS(Enterprise!Q179)+ABS(Enterprise!G180)+ABS(Enterprise!S180)+ABS(Enterprise!J181)+ABS(Enterprise!V181)+ABS(Enterprise!L182)+ABS(Enterprise!X182)+ABS(Enterprise!N183)+ABS(Enterprise!Z183)+ABS(Enterprise!F184)+ABS(Enterprise!R184)+ABS(Enterprise!E185)+ABS(Enterprise!Q185)+ABS(Enterprise!G186)+ABS(Enterprise!S186)+ABS(Enterprise!I187)+ABS(Enterprise!U187)+ABS(Enterprise!K188)+ABS(Enterprise!W188)+ABS(Enterprise!M189)+ABS(Enterprise!Y189)+ABS(Enterprise!S190)+ABS(Enterprise!V191)+SUMPRODUCT(ABS(Enterprise!$E$192:$AB$192)*(MOD(Assumptions!$E$204:$AB$204-Account_Register!$W$22,12)=11)*(Assumptions!$E$204:$AB$204&gt;=Account_Register!$W$22))+SUMPRODUCT(ABS(Enterprise!$E$193:$AB$193)*(MOD(Assumptions!$E$204:$AB$204-Account_Register!$W$23,12)=11)*(Assumptions!$E$204:$AB$204&gt;=Account_Register!$W$23))+SUMPRODUCT(ABS(Enterprise!$E$194:$AB$194)*(MOD(Assumptions!$E$204:$AB$204-Account_Register!$W$24,12)=11)*(Assumptions!$E$204:$AB$204&gt;=Account_Register!$W$24))+SUMPRODUCT(ABS(Enterprise!$E$195:$AB$195)*(MOD(Assumptions!$E$204:$AB$204-Account_Register!$W$25,12)=11)*(Assumptions!$E$204:$AB$204&gt;=Account_Register!$W$25))+SUMPRODUCT(ABS(Enterprise!$E$196:$AB$196)*(MOD(Assumptions!$E$204:$AB$204-Account_Register!$W$26,12)=11)*(Assumptions!$E$204:$AB$204&gt;=Account_Register!$W$26)),0)</f>
        <v>0</v>
      </c>
      <c r="D17" s="30" t="n">
        <v>0.5</v>
      </c>
      <c r="E17" s="31" t="str">
        <f aca="false">IF(ABS(C17)&lt;=D17,"OK","CHECK")</f>
        <v>OK</v>
      </c>
    </row>
    <row r="18" customFormat="false" ht="15" hidden="false" customHeight="false" outlineLevel="0" collapsed="false">
      <c r="A18" s="28" t="s">
        <v>181</v>
      </c>
      <c r="B18" s="14" t="s">
        <v>182</v>
      </c>
      <c r="C18" s="29" t="n">
        <f aca="false">SUMPRODUCT(ABS(Enterprise!$E$209:$AB$209))</f>
        <v>0</v>
      </c>
      <c r="D18" s="30" t="n">
        <v>0.5</v>
      </c>
      <c r="E18" s="31" t="str">
        <f aca="false">IF(ABS(C18)&lt;=D18,"OK","CHECK")</f>
        <v>OK</v>
      </c>
    </row>
    <row r="19" customFormat="false" ht="15" hidden="false" customHeight="false" outlineLevel="0" collapsed="false">
      <c r="A19" s="28" t="s">
        <v>183</v>
      </c>
      <c r="B19" s="14" t="s">
        <v>184</v>
      </c>
      <c r="C19" s="29" t="n">
        <f aca="false">SUMPRODUCT(ABS(Revenue!$E$23:$AB$23))</f>
        <v>0</v>
      </c>
      <c r="D19" s="30" t="n">
        <v>0.5</v>
      </c>
      <c r="E19" s="31" t="str">
        <f aca="false">IF(ABS(C19)&lt;=D19,"OK","CHECK")</f>
        <v>OK</v>
      </c>
    </row>
    <row r="20" customFormat="false" ht="15" hidden="false" customHeight="false" outlineLevel="0" collapsed="false">
      <c r="A20" s="28" t="s">
        <v>185</v>
      </c>
      <c r="B20" s="14" t="s">
        <v>165</v>
      </c>
      <c r="C20" s="29" t="n">
        <f aca="false">SUMPRODUCT(ABS(PL!$E$15:$AB$15-Revenue!$E$15:$AB$15))</f>
        <v>0</v>
      </c>
      <c r="D20" s="30" t="n">
        <v>0.5</v>
      </c>
      <c r="E20" s="31" t="str">
        <f aca="false">IF(ABS(C20)&lt;=D20,"OK","CHECK")</f>
        <v>OK</v>
      </c>
    </row>
    <row r="21" customFormat="false" ht="15" hidden="false" customHeight="false" outlineLevel="0" collapsed="false">
      <c r="A21" s="22" t="s">
        <v>186</v>
      </c>
      <c r="B21" s="23"/>
      <c r="C21" s="23"/>
      <c r="D21" s="23"/>
      <c r="E21" s="23"/>
    </row>
    <row r="22" customFormat="false" ht="15" hidden="false" customHeight="false" outlineLevel="0" collapsed="false">
      <c r="A22" s="28" t="s">
        <v>187</v>
      </c>
      <c r="B22" s="14" t="s">
        <v>188</v>
      </c>
      <c r="C22" s="29" t="n">
        <f aca="false">SUMPRODUCT(ABS(Usage_Compute!$E$19:$AB$19))</f>
        <v>0</v>
      </c>
      <c r="D22" s="30" t="n">
        <v>0.5</v>
      </c>
      <c r="E22" s="31" t="str">
        <f aca="false">IF(ABS(C22)&lt;=D22,"OK","CHECK")</f>
        <v>OK</v>
      </c>
    </row>
    <row r="23" customFormat="false" ht="15" hidden="false" customHeight="false" outlineLevel="0" collapsed="false">
      <c r="A23" s="28" t="s">
        <v>189</v>
      </c>
      <c r="B23" s="14" t="s">
        <v>190</v>
      </c>
      <c r="C23" s="29" t="n">
        <f aca="false">SUMPRODUCT(ABS(Usage_Compute!$E$24:$AB$24))</f>
        <v>0</v>
      </c>
      <c r="D23" s="30" t="n">
        <v>0.5</v>
      </c>
      <c r="E23" s="31" t="str">
        <f aca="false">IF(ABS(C23)&lt;=D23,"OK","CHECK")</f>
        <v>OK</v>
      </c>
    </row>
    <row r="24" customFormat="false" ht="15" hidden="false" customHeight="false" outlineLevel="0" collapsed="false">
      <c r="A24" s="28" t="s">
        <v>191</v>
      </c>
      <c r="B24" s="14" t="s">
        <v>192</v>
      </c>
      <c r="C24" s="29" t="n">
        <f aca="false">SUMPRODUCT(ABS(Unit_Costs!$E$48:$AB$48))</f>
        <v>0</v>
      </c>
      <c r="D24" s="30" t="n">
        <v>0.5</v>
      </c>
      <c r="E24" s="31" t="str">
        <f aca="false">IF(ABS(C24)&lt;=D24,"OK","CHECK")</f>
        <v>OK</v>
      </c>
    </row>
    <row r="25" customFormat="false" ht="15" hidden="false" customHeight="false" outlineLevel="0" collapsed="false">
      <c r="A25" s="28" t="s">
        <v>193</v>
      </c>
      <c r="B25" s="14" t="s">
        <v>194</v>
      </c>
      <c r="C25" s="29" t="n">
        <f aca="false">SUMPRODUCT(ABS(Commitments!$E$16:$AB$16))</f>
        <v>0</v>
      </c>
      <c r="D25" s="30" t="n">
        <v>0.5</v>
      </c>
      <c r="E25" s="31" t="str">
        <f aca="false">IF(ABS(C25)&lt;=D25,"OK","CHECK")</f>
        <v>OK</v>
      </c>
    </row>
    <row r="26" customFormat="false" ht="15" hidden="false" customHeight="false" outlineLevel="0" collapsed="false">
      <c r="A26" s="28" t="s">
        <v>195</v>
      </c>
      <c r="B26" s="14" t="s">
        <v>196</v>
      </c>
      <c r="C26" s="29" t="n">
        <f aca="false">SUMPRODUCT(ABS(Margins!$E$52:$AB$52))</f>
        <v>0</v>
      </c>
      <c r="D26" s="30" t="n">
        <v>0.5</v>
      </c>
      <c r="E26" s="31" t="str">
        <f aca="false">IF(ABS(C26)&lt;=D26,"OK","CHECK")</f>
        <v>OK</v>
      </c>
    </row>
    <row r="27" customFormat="false" ht="15" hidden="false" customHeight="false" outlineLevel="0" collapsed="false">
      <c r="A27" s="28" t="s">
        <v>197</v>
      </c>
      <c r="B27" s="14"/>
      <c r="C27" s="29" t="n">
        <f aca="false">SUMPRODUCT(ABS(Margins!$E$53:$AB$53))</f>
        <v>0</v>
      </c>
      <c r="D27" s="30" t="n">
        <v>0.5</v>
      </c>
      <c r="E27" s="31" t="str">
        <f aca="false">IF(ABS(C27)&lt;=D27,"OK","CHECK")</f>
        <v>OK</v>
      </c>
    </row>
    <row r="28" customFormat="false" ht="15" hidden="false" customHeight="false" outlineLevel="0" collapsed="false">
      <c r="A28" s="22" t="s">
        <v>198</v>
      </c>
      <c r="B28" s="23"/>
      <c r="C28" s="23"/>
      <c r="D28" s="23"/>
      <c r="E28" s="23"/>
    </row>
    <row r="29" customFormat="false" ht="15" hidden="false" customHeight="false" outlineLevel="0" collapsed="false">
      <c r="A29" s="28" t="s">
        <v>199</v>
      </c>
      <c r="B29" s="14" t="s">
        <v>200</v>
      </c>
      <c r="C29" s="29" t="n">
        <f aca="false">ROUND(SUMPRODUCT(ABS(People!$E$173:$AB$173-People!$E$181:$AB$181-People!$E$178:$AB$178-People!$E$179:$AB$179-People!$E$180:$AB$180))+SUMPRODUCT(ABS(People!$E$183:$AB$183-People!$E$191:$AB$191-People!$E$188:$AB$188-People!$E$189:$AB$189-People!$E$190:$AB$190))+SUMPRODUCT(ABS(People!$E$193:$AB$193-People!$E$201:$AB$201-People!$E$198:$AB$198-People!$E$199:$AB$199-People!$E$200:$AB$200))+SUMPRODUCT(ABS(People!$E$203:$AB$203-People!$E$211:$AB$211-People!$E$208:$AB$208-People!$E$209:$AB$209-People!$E$210:$AB$210)),0)</f>
        <v>0</v>
      </c>
      <c r="D29" s="30" t="n">
        <v>0.5</v>
      </c>
      <c r="E29" s="31" t="str">
        <f aca="false">IF(ABS(C29)&lt;=D29,"OK","CHECK")</f>
        <v>OK</v>
      </c>
    </row>
    <row r="30" customFormat="false" ht="15" hidden="false" customHeight="false" outlineLevel="0" collapsed="false">
      <c r="A30" s="28" t="s">
        <v>201</v>
      </c>
      <c r="B30" s="14" t="s">
        <v>202</v>
      </c>
      <c r="C30" s="29" t="n">
        <f aca="false">ROUND(SUMPRODUCT(ABS(People!$E$242:$AB$242-People!$E$240:$AB$240)*(Assumptions!$E$205:$AB$205="F")),0)</f>
        <v>0</v>
      </c>
      <c r="D30" s="30" t="n">
        <v>0.5</v>
      </c>
      <c r="E30" s="31" t="str">
        <f aca="false">IF(ABS(C30)&lt;=D30,"OK","CHECK")</f>
        <v>OK</v>
      </c>
    </row>
    <row r="31" customFormat="false" ht="15" hidden="false" customHeight="false" outlineLevel="0" collapsed="false">
      <c r="A31" s="28" t="s">
        <v>203</v>
      </c>
      <c r="B31" s="14" t="s">
        <v>202</v>
      </c>
      <c r="C31" s="29" t="n">
        <f aca="false">ROUND(SUMPRODUCT(ABS(People!$E$245:$AB$245-People!$E$243:$AB$243)*(Assumptions!$E$205:$AB$205="F")),0)</f>
        <v>0</v>
      </c>
      <c r="D31" s="30" t="n">
        <v>0.5</v>
      </c>
      <c r="E31" s="31" t="str">
        <f aca="false">IF(ABS(C31)&lt;=D31,"OK","CHECK")</f>
        <v>OK</v>
      </c>
    </row>
    <row r="32" customFormat="false" ht="15" hidden="false" customHeight="false" outlineLevel="0" collapsed="false">
      <c r="A32" s="28" t="s">
        <v>204</v>
      </c>
      <c r="B32" s="14" t="s">
        <v>202</v>
      </c>
      <c r="C32" s="29" t="n">
        <f aca="false">ROUND(SUMPRODUCT(ABS(People!$E$248:$AB$248-People!$E$246:$AB$246)*(Assumptions!$E$205:$AB$205="F")),0)</f>
        <v>0</v>
      </c>
      <c r="D32" s="30" t="n">
        <v>0.5</v>
      </c>
      <c r="E32" s="31" t="str">
        <f aca="false">IF(ABS(C32)&lt;=D32,"OK","CHECK")</f>
        <v>OK</v>
      </c>
    </row>
    <row r="33" customFormat="false" ht="15" hidden="false" customHeight="false" outlineLevel="0" collapsed="false">
      <c r="A33" s="28" t="s">
        <v>205</v>
      </c>
      <c r="B33" s="14" t="s">
        <v>206</v>
      </c>
      <c r="C33" s="32" t="n">
        <f aca="false">Assumptions!$C$73+Assumptions!$C$74-MAX(People!$E$54:$AB$66)</f>
        <v>0.324207743402859</v>
      </c>
      <c r="D33" s="30" t="n">
        <v>0</v>
      </c>
      <c r="E33" s="31" t="str">
        <f aca="false">IF(C33&gt;=-D33,"OK","CHECK")</f>
        <v>OK</v>
      </c>
    </row>
    <row r="34" customFormat="false" ht="15" hidden="false" customHeight="false" outlineLevel="0" collapsed="false">
      <c r="A34" s="22" t="s">
        <v>207</v>
      </c>
      <c r="B34" s="23"/>
      <c r="C34" s="23"/>
      <c r="D34" s="23"/>
      <c r="E34" s="23"/>
    </row>
    <row r="35" customFormat="false" ht="15" hidden="false" customHeight="false" outlineLevel="0" collapsed="false">
      <c r="A35" s="28" t="s">
        <v>208</v>
      </c>
      <c r="B35" s="14" t="s">
        <v>209</v>
      </c>
      <c r="C35" s="29" t="n">
        <f aca="false">SUMPRODUCT(ABS(VAT!$E$15:$AB$15))</f>
        <v>0</v>
      </c>
      <c r="D35" s="30" t="n">
        <v>0.5</v>
      </c>
      <c r="E35" s="31" t="str">
        <f aca="false">IF(ABS(C35)&lt;=D35,"OK","CHECK")</f>
        <v>OK</v>
      </c>
    </row>
    <row r="36" customFormat="false" ht="15" hidden="false" customHeight="false" outlineLevel="0" collapsed="false">
      <c r="A36" s="28" t="s">
        <v>210</v>
      </c>
      <c r="B36" s="14" t="s">
        <v>211</v>
      </c>
      <c r="C36" s="29" t="n">
        <f aca="false">ROUND(Inputs_Actuals!$C$193-Inputs_Actuals!$C$176*Assumptions!$C$18/(1+Assumptions!$C$18),0)+ROUND(Inputs_Actuals!$C$175-Inputs_Actuals!$C$189*Assumptions!$C$18/(1+Assumptions!$C$18),0)</f>
        <v>0</v>
      </c>
      <c r="D36" s="30" t="n">
        <v>0.5</v>
      </c>
      <c r="E36" s="31" t="str">
        <f aca="false">IF(ABS(C36)&lt;=D36,"OK","CHECK")</f>
        <v>OK</v>
      </c>
    </row>
    <row r="37" customFormat="false" ht="15" hidden="false" customHeight="false" outlineLevel="0" collapsed="false">
      <c r="A37" s="28" t="s">
        <v>212</v>
      </c>
      <c r="B37" s="14" t="s">
        <v>213</v>
      </c>
      <c r="C37" s="29" t="n">
        <f aca="false">SUMPRODUCT(ABS(Research_Credit!$E$17:$AB$17))</f>
        <v>0</v>
      </c>
      <c r="D37" s="30" t="n">
        <v>0.5</v>
      </c>
      <c r="E37" s="31" t="str">
        <f aca="false">IF(ABS(C37)&lt;=D37,"OK","CHECK")</f>
        <v>OK</v>
      </c>
    </row>
    <row r="38" customFormat="false" ht="15" hidden="false" customHeight="false" outlineLevel="0" collapsed="false">
      <c r="A38" s="28" t="s">
        <v>214</v>
      </c>
      <c r="B38" s="14" t="s">
        <v>215</v>
      </c>
      <c r="C38" s="29" t="n">
        <f aca="false">ROUND(Research_Credit!$C$11-Assumptions!$C$32*(1+Assumptions!$C$33)*Research_Credit!$C$8,0)+ROUND(Research_Credit!$D$11-Assumptions!$C$32*(1+Assumptions!$C$33)*Research_Credit!$D$8,0)</f>
        <v>0</v>
      </c>
      <c r="D38" s="30" t="n">
        <v>0.5</v>
      </c>
      <c r="E38" s="31" t="str">
        <f aca="false">IF(ABS(C38)&lt;=D38,"OK","CHECK")</f>
        <v>OK</v>
      </c>
    </row>
    <row r="39" customFormat="false" ht="15" hidden="false" customHeight="false" outlineLevel="0" collapsed="false">
      <c r="A39" s="28" t="s">
        <v>216</v>
      </c>
      <c r="B39" s="14" t="s">
        <v>217</v>
      </c>
      <c r="C39" s="29" t="n">
        <f aca="false">SUMPRODUCT(ABS(Overheads!$E$26:$AB$26))</f>
        <v>0</v>
      </c>
      <c r="D39" s="30" t="n">
        <v>0.5</v>
      </c>
      <c r="E39" s="31" t="str">
        <f aca="false">IF(ABS(C39)&lt;=D39,"OK","CHECK")</f>
        <v>OK</v>
      </c>
    </row>
    <row r="40" customFormat="false" ht="15" hidden="false" customHeight="false" outlineLevel="0" collapsed="false">
      <c r="A40" s="28" t="s">
        <v>218</v>
      </c>
      <c r="B40" s="14" t="s">
        <v>219</v>
      </c>
      <c r="C40" s="29" t="n">
        <f aca="false">ROUND(Tax!$D$14-(Assumptions!$C$29+MAX(0,-(PL!$C$52-PL!$C$43))+MAX(0,-(PL!$D$52-PL!$D$43))-Tax!$C$13-Tax!$D$13),0)</f>
        <v>0</v>
      </c>
      <c r="D40" s="30" t="n">
        <v>0.5</v>
      </c>
      <c r="E40" s="31" t="str">
        <f aca="false">IF(ABS(C40)&lt;=D40,"OK","CHECK")</f>
        <v>OK</v>
      </c>
    </row>
    <row r="41" customFormat="false" ht="15" hidden="false" customHeight="false" outlineLevel="0" collapsed="false">
      <c r="A41" s="28" t="s">
        <v>220</v>
      </c>
      <c r="B41" s="14" t="s">
        <v>221</v>
      </c>
      <c r="C41" s="29" t="n">
        <f aca="false">ROUND(Tax!$C$16-(MAX(0,(PL!$C$52-PL!$C$43))-Tax!$C$13)*Assumptions!$C$28,0)+ROUND(Tax!$D$16-(MAX(0,(PL!$D$52-PL!$D$43))-Tax!$D$13)*Assumptions!$C$28,0)</f>
        <v>0</v>
      </c>
      <c r="D41" s="30" t="n">
        <v>0.5</v>
      </c>
      <c r="E41" s="31" t="str">
        <f aca="false">IF(ABS(C41)&lt;=D41,"OK","CHECK")</f>
        <v>OK</v>
      </c>
    </row>
    <row r="42" customFormat="false" ht="15" hidden="false" customHeight="false" outlineLevel="0" collapsed="false">
      <c r="A42" s="22" t="s">
        <v>222</v>
      </c>
      <c r="B42" s="23"/>
      <c r="C42" s="23"/>
      <c r="D42" s="23"/>
      <c r="E42" s="23"/>
    </row>
    <row r="43" customFormat="false" ht="15" hidden="false" customHeight="false" outlineLevel="0" collapsed="false">
      <c r="A43" s="28" t="s">
        <v>223</v>
      </c>
      <c r="B43" s="14" t="s">
        <v>224</v>
      </c>
      <c r="C43" s="29" t="n">
        <f aca="false">AR_Aging!H20</f>
        <v>0</v>
      </c>
      <c r="D43" s="30" t="n">
        <v>0.5</v>
      </c>
      <c r="E43" s="31" t="str">
        <f aca="false">IF(ABS(C43)&lt;=D43,"OK","CHECK")</f>
        <v>OK</v>
      </c>
    </row>
    <row r="44" customFormat="false" ht="15" hidden="false" customHeight="false" outlineLevel="0" collapsed="false">
      <c r="A44" s="28" t="s">
        <v>225</v>
      </c>
      <c r="B44" s="14" t="s">
        <v>224</v>
      </c>
      <c r="C44" s="29" t="n">
        <f aca="false">AR_Aging!H21</f>
        <v>0</v>
      </c>
      <c r="D44" s="30" t="n">
        <v>0.5</v>
      </c>
      <c r="E44" s="31" t="str">
        <f aca="false">IF(ABS(C44)&lt;=D44,"OK","CHECK")</f>
        <v>OK</v>
      </c>
    </row>
    <row r="45" customFormat="false" ht="15" hidden="false" customHeight="false" outlineLevel="0" collapsed="false">
      <c r="A45" s="28" t="s">
        <v>226</v>
      </c>
      <c r="B45" s="14"/>
      <c r="C45" s="29" t="n">
        <f aca="false">AP_Aging!H18</f>
        <v>0</v>
      </c>
      <c r="D45" s="30" t="n">
        <v>0.5</v>
      </c>
      <c r="E45" s="31" t="str">
        <f aca="false">IF(ABS(C45)&lt;=D45,"OK","CHECK")</f>
        <v>OK</v>
      </c>
    </row>
    <row r="46" customFormat="false" ht="15" hidden="false" customHeight="false" outlineLevel="0" collapsed="false">
      <c r="A46" s="28" t="s">
        <v>227</v>
      </c>
      <c r="B46" s="14"/>
      <c r="C46" s="29" t="n">
        <f aca="false">AP_Aging!H19</f>
        <v>0</v>
      </c>
      <c r="D46" s="30" t="n">
        <v>0.5</v>
      </c>
      <c r="E46" s="31" t="str">
        <f aca="false">IF(ABS(C46)&lt;=D46,"OK","CHECK")</f>
        <v>OK</v>
      </c>
    </row>
    <row r="47" customFormat="false" ht="15" hidden="false" customHeight="false" outlineLevel="0" collapsed="false">
      <c r="A47" s="28" t="s">
        <v>228</v>
      </c>
      <c r="B47" s="14"/>
      <c r="C47" s="29" t="n">
        <f aca="false">AP_Aging!H20</f>
        <v>0</v>
      </c>
      <c r="D47" s="30" t="n">
        <v>0.5</v>
      </c>
      <c r="E47" s="31" t="str">
        <f aca="false">IF(ABS(C47)&lt;=D47,"OK","CHECK")</f>
        <v>OK</v>
      </c>
    </row>
    <row r="48" customFormat="false" ht="15" hidden="false" customHeight="false" outlineLevel="0" collapsed="false">
      <c r="A48" s="28" t="s">
        <v>229</v>
      </c>
      <c r="B48" s="14"/>
      <c r="C48" s="29" t="n">
        <f aca="false">AP_Aging!H21</f>
        <v>-0</v>
      </c>
      <c r="D48" s="30" t="n">
        <v>0.5</v>
      </c>
      <c r="E48" s="31" t="str">
        <f aca="false">IF(ABS(C48)&lt;=D48,"OK","CHECK")</f>
        <v>OK</v>
      </c>
    </row>
    <row r="49" customFormat="false" ht="15" hidden="false" customHeight="false" outlineLevel="0" collapsed="false">
      <c r="A49" s="28" t="s">
        <v>230</v>
      </c>
      <c r="B49" s="14" t="s">
        <v>231</v>
      </c>
      <c r="C49" s="29" t="n">
        <f aca="false">SUMPRODUCT(ABS(ROUND(Receivables!$E$12:$AB$12,0)))</f>
        <v>0</v>
      </c>
      <c r="D49" s="30" t="n">
        <v>0.5</v>
      </c>
      <c r="E49" s="31" t="str">
        <f aca="false">IF(ABS(C49)&lt;=D49,"OK","CHECK")</f>
        <v>OK</v>
      </c>
    </row>
    <row r="50" customFormat="false" ht="15" hidden="false" customHeight="false" outlineLevel="0" collapsed="false">
      <c r="A50" s="28" t="s">
        <v>232</v>
      </c>
      <c r="B50" s="14" t="s">
        <v>233</v>
      </c>
      <c r="C50" s="29" t="n">
        <f aca="false">ROUND(SUMPRODUCT(ABS(Receivables!$E$21:$AB$21-Receivables!$E$16:$AB$16-Receivables!$E$15:$AB$15)*(Assumptions!$E$205:$AB$205="F"))+SUMPRODUCT(ABS(Receivables!$E$27:$AB$27-Receivables!$E$25:$AB$25)*(Assumptions!$E$205:$AB$205="F")),0)</f>
        <v>0</v>
      </c>
      <c r="D50" s="30" t="n">
        <v>0.5</v>
      </c>
      <c r="E50" s="31" t="str">
        <f aca="false">IF(ABS(C50)&lt;=D50,"OK","CHECK")</f>
        <v>OK</v>
      </c>
    </row>
    <row r="51" customFormat="false" ht="15" hidden="false" customHeight="false" outlineLevel="0" collapsed="false">
      <c r="A51" s="28" t="s">
        <v>234</v>
      </c>
      <c r="B51" s="14" t="s">
        <v>235</v>
      </c>
      <c r="C51" s="29" t="n">
        <f aca="false">ROUND(SUMPRODUCT(ABS(Payables!$E$13:$AB$13-Payables!$E$10:$AB$10)),0)</f>
        <v>0</v>
      </c>
      <c r="D51" s="30" t="n">
        <v>0.5</v>
      </c>
      <c r="E51" s="31" t="str">
        <f aca="false">IF(ABS(C51)&lt;=D51,"OK","CHECK")</f>
        <v>OK</v>
      </c>
    </row>
    <row r="52" customFormat="false" ht="15" hidden="false" customHeight="false" outlineLevel="0" collapsed="false">
      <c r="A52" s="22" t="s">
        <v>236</v>
      </c>
      <c r="B52" s="23"/>
      <c r="C52" s="23"/>
      <c r="D52" s="23"/>
      <c r="E52" s="23"/>
    </row>
    <row r="53" customFormat="false" ht="15" hidden="false" customHeight="false" outlineLevel="0" collapsed="false">
      <c r="A53" s="28" t="s">
        <v>237</v>
      </c>
      <c r="B53" s="14" t="s">
        <v>238</v>
      </c>
      <c r="C53" s="29" t="n">
        <f aca="false">Cash_13W!C100</f>
        <v>-0</v>
      </c>
      <c r="D53" s="30" t="n">
        <v>0.5</v>
      </c>
      <c r="E53" s="31" t="str">
        <f aca="false">IF(ABS(C53)&lt;=D53,"OK","CHECK")</f>
        <v>OK</v>
      </c>
    </row>
    <row r="54" customFormat="false" ht="15" hidden="false" customHeight="false" outlineLevel="0" collapsed="false">
      <c r="A54" s="28" t="s">
        <v>239</v>
      </c>
      <c r="B54" s="14" t="s">
        <v>240</v>
      </c>
      <c r="C54" s="29" t="n">
        <f aca="false">Scenarios!G32</f>
        <v>0</v>
      </c>
      <c r="D54" s="30" t="n">
        <v>0.5</v>
      </c>
      <c r="E54" s="31" t="str">
        <f aca="false">IF(ABS(C54)&lt;=D54,"OK","CHECK")</f>
        <v>OK</v>
      </c>
    </row>
    <row r="55" customFormat="false" ht="15" hidden="false" customHeight="false" outlineLevel="0" collapsed="false">
      <c r="A55" s="28" t="s">
        <v>241</v>
      </c>
      <c r="B55" s="14" t="s">
        <v>242</v>
      </c>
      <c r="C55" s="29" t="n">
        <f aca="false">ABS(BvA!E66)+ABS(BvA!I66)</f>
        <v>0</v>
      </c>
      <c r="D55" s="30" t="n">
        <v>0.5</v>
      </c>
      <c r="E55" s="31" t="str">
        <f aca="false">IF(ABS(C55)&lt;=D55,"OK","CHECK")</f>
        <v>OK</v>
      </c>
    </row>
    <row r="56" customFormat="false" ht="15" hidden="false" customHeight="false" outlineLevel="0" collapsed="false">
      <c r="A56" s="28" t="s">
        <v>243</v>
      </c>
      <c r="B56" s="14" t="s">
        <v>244</v>
      </c>
      <c r="C56" s="29" t="n">
        <f aca="false">BvA!B87</f>
        <v>0</v>
      </c>
      <c r="D56" s="30" t="n">
        <v>0.5</v>
      </c>
      <c r="E56" s="31" t="str">
        <f aca="false">IF(ABS(C56)&lt;=D56,"OK","CHECK")</f>
        <v>OK</v>
      </c>
    </row>
    <row r="57" customFormat="false" ht="15" hidden="false" customHeight="false" outlineLevel="0" collapsed="false">
      <c r="A57" s="22" t="s">
        <v>245</v>
      </c>
      <c r="B57" s="23"/>
      <c r="C57" s="23"/>
      <c r="D57" s="23"/>
      <c r="E57" s="23"/>
    </row>
    <row r="58" customFormat="false" ht="15" hidden="false" customHeight="false" outlineLevel="0" collapsed="false">
      <c r="A58" s="28" t="s">
        <v>246</v>
      </c>
      <c r="B58" s="14"/>
      <c r="C58" s="29" t="n">
        <f aca="false">MIN(MIN(Receivables!$E$21:$AB$21),MIN(Receivables!$E$27:$AB$27))</f>
        <v>105000</v>
      </c>
      <c r="D58" s="30" t="n">
        <v>0.5</v>
      </c>
      <c r="E58" s="31" t="str">
        <f aca="false">IF(C58&gt;=-D58,"OK","CHECK")</f>
        <v>OK</v>
      </c>
    </row>
    <row r="59" customFormat="false" ht="15" hidden="false" customHeight="false" outlineLevel="0" collapsed="false">
      <c r="A59" s="28" t="s">
        <v>247</v>
      </c>
      <c r="B59" s="14"/>
      <c r="C59" s="29" t="n">
        <f aca="false">MIN(MIN(Payables!$E$13:$AB$13),MIN(Payables!$E$18:$AB$18),MIN(Payables!$E$22:$AB$22),MIN(Payables!$E$26:$AB$26))</f>
        <v>8033.9</v>
      </c>
      <c r="D59" s="30" t="n">
        <v>0.5</v>
      </c>
      <c r="E59" s="31" t="str">
        <f aca="false">IF(C59&gt;=-D59,"OK","CHECK")</f>
        <v>OK</v>
      </c>
    </row>
    <row r="60" customFormat="false" ht="15" hidden="false" customHeight="false" outlineLevel="0" collapsed="false">
      <c r="A60" s="28" t="s">
        <v>248</v>
      </c>
      <c r="B60" s="14"/>
      <c r="C60" s="29" t="n">
        <f aca="false">MIN(MIN(Credits!$E$56:$AB$56),MIN(Credits!$E$59:$AB$59))</f>
        <v>210641.794090909</v>
      </c>
      <c r="D60" s="30" t="n">
        <v>0.5</v>
      </c>
      <c r="E60" s="31" t="str">
        <f aca="false">IF(C60&gt;=-D60,"OK","CHECK")</f>
        <v>OK</v>
      </c>
    </row>
    <row r="61" customFormat="false" ht="15" hidden="false" customHeight="false" outlineLevel="0" collapsed="false">
      <c r="A61" s="28" t="s">
        <v>249</v>
      </c>
      <c r="B61" s="14"/>
      <c r="C61" s="32" t="n">
        <f aca="false">MIN(MIN(Enterprise!$E$9:$AB$28),MIN(Enterprise!$E$30:$AB$49))</f>
        <v>0</v>
      </c>
      <c r="D61" s="30" t="n">
        <v>0.001</v>
      </c>
      <c r="E61" s="31" t="str">
        <f aca="false">IF(C61&gt;=-D61,"OK","CHECK")</f>
        <v>OK</v>
      </c>
    </row>
    <row r="62" customFormat="false" ht="15" hidden="false" customHeight="false" outlineLevel="0" collapsed="false">
      <c r="A62" s="28" t="s">
        <v>250</v>
      </c>
      <c r="B62" s="14"/>
      <c r="C62" s="32" t="n">
        <f aca="false">MIN(People!$E$215:$AB$215)</f>
        <v>274.113302531798</v>
      </c>
      <c r="D62" s="30" t="n">
        <v>0</v>
      </c>
      <c r="E62" s="31" t="str">
        <f aca="false">IF(C62&gt;=-D62,"OK","CHECK")</f>
        <v>OK</v>
      </c>
    </row>
    <row r="63" customFormat="false" ht="15" hidden="false" customHeight="false" outlineLevel="0" collapsed="false">
      <c r="A63" s="28" t="s">
        <v>251</v>
      </c>
      <c r="B63" s="14"/>
      <c r="C63" s="32" t="n">
        <f aca="false">MIN(People!$E$9:$AB$21)</f>
        <v>0.966944444444444</v>
      </c>
      <c r="D63" s="30" t="n">
        <v>0</v>
      </c>
      <c r="E63" s="31" t="str">
        <f aca="false">IF(C63&gt;=-D63,"OK","CHECK")</f>
        <v>OK</v>
      </c>
    </row>
    <row r="64" customFormat="false" ht="15" hidden="false" customHeight="false" outlineLevel="0" collapsed="false">
      <c r="A64" s="28" t="s">
        <v>252</v>
      </c>
      <c r="B64" s="14"/>
      <c r="C64" s="32" t="n">
        <f aca="false">MIN(MIN(Fixed_Assets!$E$12:$AB$12),MIN(Research_Credit!$E$13:$AB$13))</f>
        <v>197663.499312204</v>
      </c>
      <c r="D64" s="30" t="n">
        <v>0</v>
      </c>
      <c r="E64" s="31" t="str">
        <f aca="false">IF(C64&gt;=-D64,"OK","CHECK")</f>
        <v>OK</v>
      </c>
    </row>
    <row r="65" customFormat="false" ht="15" hidden="false" customHeight="false" outlineLevel="0" collapsed="false">
      <c r="A65" s="28" t="s">
        <v>253</v>
      </c>
      <c r="B65" s="14"/>
      <c r="C65" s="29" t="n">
        <f aca="false">COUNTIF(Assumptions!$E$205:$AB$205,"A")-Assumptions!$C$10</f>
        <v>0</v>
      </c>
      <c r="D65" s="30" t="n">
        <v>0.5</v>
      </c>
      <c r="E65" s="31" t="str">
        <f aca="false">IF(ABS(C65)&lt;=D65,"OK","CHECK")</f>
        <v>OK</v>
      </c>
    </row>
    <row r="67" customFormat="false" ht="15" hidden="false" customHeight="false" outlineLevel="0" collapsed="false">
      <c r="A67" s="33" t="s">
        <v>254</v>
      </c>
      <c r="B67" s="34"/>
      <c r="C67" s="34"/>
      <c r="D67" s="34"/>
      <c r="E67" s="35" t="str">
        <f aca="false">IF(COUNTIF(E6:E65,"CHECK")=0,"OK","CHECK")</f>
        <v>OK</v>
      </c>
    </row>
    <row r="69" customFormat="false" ht="15" hidden="false" customHeight="false" outlineLevel="0" collapsed="false">
      <c r="A69" s="22" t="s">
        <v>255</v>
      </c>
      <c r="B69" s="23"/>
      <c r="C69" s="23"/>
      <c r="D69" s="23"/>
      <c r="E69" s="23"/>
    </row>
    <row r="70" customFormat="false" ht="15" hidden="false" customHeight="false" outlineLevel="0" collapsed="false">
      <c r="A70" s="0" t="s">
        <v>256</v>
      </c>
      <c r="B70" s="14" t="s">
        <v>257</v>
      </c>
      <c r="C70" s="36" t="n">
        <f aca="false">MIN(BS!M9:AB9)</f>
        <v>3525929.54743888</v>
      </c>
    </row>
    <row r="71" customFormat="false" ht="15" hidden="false" customHeight="false" outlineLevel="0" collapsed="false">
      <c r="A71" s="0" t="s">
        <v>258</v>
      </c>
      <c r="B71" s="14" t="s">
        <v>259</v>
      </c>
      <c r="C71" s="36" t="n">
        <f aca="false">MIN(BS!M9:AB9)-Assumptions!$C$13</f>
        <v>525929.547438884</v>
      </c>
    </row>
    <row r="72" customFormat="false" ht="15" hidden="false" customHeight="false" outlineLevel="0" collapsed="false">
      <c r="A72" s="0" t="s">
        <v>260</v>
      </c>
      <c r="B72" s="14"/>
      <c r="C72" s="36" t="n">
        <f aca="false">Cash_13W!C88</f>
        <v>7830299.82223904</v>
      </c>
    </row>
    <row r="73" customFormat="false" ht="15" hidden="false" customHeight="false" outlineLevel="0" collapsed="false">
      <c r="A73" s="0" t="s">
        <v>261</v>
      </c>
      <c r="B73" s="14" t="s">
        <v>262</v>
      </c>
      <c r="C73" s="37" t="n">
        <f aca="false">Enterprise!$D$220</f>
        <v>1.17262202567779</v>
      </c>
    </row>
    <row r="74" customFormat="false" ht="15" hidden="false" customHeight="false" outlineLevel="0" collapsed="false">
      <c r="A74" s="0" t="s">
        <v>263</v>
      </c>
      <c r="B74" s="14" t="s">
        <v>264</v>
      </c>
      <c r="C74" s="37" t="n">
        <f aca="false">MAX(Account_Register!$AF$7:$AF$26)</f>
        <v>0.0660475473862971</v>
      </c>
    </row>
    <row r="75" customFormat="false" ht="15" hidden="false" customHeight="false" outlineLevel="0" collapsed="false">
      <c r="A75" s="0" t="s">
        <v>265</v>
      </c>
      <c r="B75" s="14" t="s">
        <v>266</v>
      </c>
      <c r="C75" s="36" t="n">
        <f aca="false">INDEX(Receivables!$E$15:$AB$15,Assumptions!$C$10)</f>
        <v>18071.21</v>
      </c>
    </row>
    <row r="76" customFormat="false" ht="15" hidden="false" customHeight="false" outlineLevel="0" collapsed="false">
      <c r="A76" s="0" t="s">
        <v>267</v>
      </c>
      <c r="B76" s="14" t="s">
        <v>268</v>
      </c>
      <c r="C76" s="36" t="n">
        <f aca="false">Commitments!$C$12</f>
        <v>113508.857432685</v>
      </c>
    </row>
    <row r="77" customFormat="false" ht="15" hidden="false" customHeight="false" outlineLevel="0" collapsed="false">
      <c r="A77" s="0" t="s">
        <v>269</v>
      </c>
      <c r="B77" s="14" t="s">
        <v>270</v>
      </c>
      <c r="C77" s="37" t="n">
        <f aca="false">Usage_Compute!$D$53</f>
        <v>0.562503703950167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6"/>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B2" s="21" t="s">
        <v>271</v>
      </c>
    </row>
    <row r="3" customFormat="false" ht="15" hidden="false" customHeight="false" outlineLevel="0" collapsed="false">
      <c r="B3" s="25" t="str">
        <f aca="false">"Reporting month: "&amp;TEXT(Assumptions!$C$9,"mmm-yy")&amp;" actuals, "&amp;Assumptions!$C$12&amp;" scenario for the outlook. Amounts in EUR unless marked USD. Every figure is a live link to the model; the narrative recalculates with the inputs."</f>
        <v>Reporting month: Aug-26 actuals, Base scenario for the outlook. Amounts in EUR unless marked USD. Every figure is a live link to the model; the narrative recalculates with the inputs.</v>
      </c>
    </row>
    <row r="4" customFormat="false" ht="15" hidden="false" customHeight="false" outlineLevel="0" collapsed="false">
      <c r="B4" s="38" t="s">
        <v>272</v>
      </c>
    </row>
    <row r="6" customFormat="false" ht="15" hidden="false" customHeight="false" outlineLevel="0" collapsed="false">
      <c r="B6" s="39" t="s">
        <v>273</v>
      </c>
      <c r="C6" s="40"/>
      <c r="D6" s="40"/>
      <c r="E6" s="40"/>
      <c r="F6" s="40"/>
    </row>
    <row r="7" customFormat="false" ht="97.5" hidden="false" customHeight="true" outlineLevel="0" collapsed="false">
      <c r="B7" s="41" t="str">
        <f aca="false">"Year to date revenue is EUR "&amp;TEXT((BvA!B10)/1000,"#,##0")&amp;"k, "&amp;IF((BvA!B10/SUMIFS(History!$C$20:$N$20,Assumptions!$E$204:$P$204,"&lt;="&amp;Assumptions!$C$10)-1)&gt;=0,TEXT((BvA!B10/SUMIFS(History!$C$20:$N$20,Assumptions!$E$204:$P$204,"&lt;="&amp;Assumptions!$C$10)-1),"0.0%")&amp;" growth",TEXT(ABS((BvA!B10/SUMIFS(History!$C$20:$N$20,Assumptions!$E$204:$P$204,"&lt;="&amp;Assumptions!$C$10)-1)),"0.0%")&amp;" decline")&amp;" on the same months of 2025 but "&amp;TEXT((ABS(BvA!E10)),"0.0%")&amp;" "&amp;IF(BvA!D10&lt;0,"below","above")&amp;" budget, with "&amp;IF(BvA!B37&lt;0,"an EBITDA loss of EUR "&amp;TEXT(ABS(BvA!B37)/1000,"#,##0")&amp;"k","EBITDA of EUR "&amp;TEXT((BvA!B37)/1000,"#,##0")&amp;"k")&amp;" against "&amp;IF(BvA!C37&lt;0,"a budgeted loss of EUR "&amp;TEXT(ABS(BvA!C37)/1000,"#,##0")&amp;"k","budgeted EBITDA of EUR "&amp;TEXT((BvA!C37)/1000,"#,##0")&amp;"k")&amp;". Enterprise explains most of the revenue gap: Pravenza Retail left at its March renewal (EUR "&amp;TEXT(ABS(BvA!E61)/1000,"#,##0")&amp;"k against budget) and the two accounts won came later than the four budgeted from March (EUR "&amp;TEXT(ABS(BvA!E62)/1000,"#,##0")&amp;"k), while the existing accounts used EUR "&amp;TEXT((BvA!E63)/1000,"#,##0")&amp;"k more than budgeted. Gross margin is "&amp;TEXT((BvA!B21),"0.0%")&amp;" against "&amp;TEXT((BvA!C21),"0.0%")&amp;" budgeted: vendor B kept its price for the voice and agent models (model APIs EUR "&amp;TEXT(ABS((BvA!D13+BvA!D14))/1000,"#,##0")&amp;"k over budget) and the Provider A commitment will not be used in full (EUR "&amp;TEXT(ABS(BvA!D16)/1000,"#,##0")&amp;"k provided). Payroll is EUR "&amp;TEXT(((BvA!D18+BvA!D22+BvA!D24+BvA!D27))/1000,"#,##0")&amp;"k below budget with "&amp;TEXT((INDEX(People!$E$22:$AB$22,Assumptions!$C$10)),"0")&amp;" people at "&amp;TEXT(Assumptions!$C$9,"mmm-yy")&amp;" against "&amp;TEXT((INDEX(Budget_FY26!$E$67:$P$67,Assumptions!$C$10)),"0")&amp;" budgeted."</f>
        <v>Year to date revenue is EUR 4,206k, 44.1% growth on the same months of 2025 but 2.5% below budget, with an EBITDA loss of EUR 3,083k against a budgeted loss of EUR 2,970k. Enterprise explains most of the revenue gap: Pravenza Retail left at its March renewal (EUR 101k against budget) and the two accounts won came later than the four budgeted from March (EUR 42k), while the existing accounts used EUR 53k more than budgeted. Gross margin is 56.8% against 60.5% budgeted: vendor B kept its price for the voice and agent models (model APIs EUR 31k over budget) and the Provider A commitment will not be used in full (EUR 98k provided). Payroll is EUR 124k below budget with 77 people at Aug-26 against 83 budgeted.</v>
      </c>
    </row>
    <row r="8" customFormat="false" ht="57" hidden="false" customHeight="true" outlineLevel="0" collapsed="false">
      <c r="B8" s="41" t="str">
        <f aca="false">"Full-year outlook ("&amp;Assumptions!$C$12&amp;"): revenue EUR "&amp;TEXT((BvA!F10)/1000,"#,##0")&amp;"k, "&amp;IF((PL!$C$15/History!$O$20-1)&gt;=0,TEXT((PL!$C$15/History!$O$20-1),"0.0%")&amp;" growth",TEXT(ABS((PL!$C$15/History!$O$20-1)),"0.0%")&amp;" decline")&amp;" on FY2025 and "&amp;TEXT((ABS(BvA!I10)),"0.0%")&amp;" "&amp;IF(BvA!H10&lt;0,"below","above")&amp;" budget; gross margin "&amp;TEXT((PL!$C$27),"0.0%")&amp;"; "&amp;IF(PL!$C$44&lt;0,"an EBITDA loss of EUR "&amp;TEXT(ABS(PL!$C$44)/1000,"#,##0")&amp;"k","EBITDA of EUR "&amp;TEXT((PL!$C$44)/1000,"#,##0")&amp;"k")&amp;" against "&amp;IF(BvA!G37&lt;0,"a budgeted loss of EUR "&amp;TEXT(ABS(BvA!G37)/1000,"#,##0")&amp;"k","budgeted EBITDA of EUR "&amp;TEXT((BvA!G37)/1000,"#,##0")&amp;"k")&amp;". The research tax credit adds EUR "&amp;TEXT((PL!$C$43)/1000,"#,##0")&amp;"k, "&amp;TEXT((PL!$C$43/PL!$C$15),"0%")&amp;" of revenue: before it the business consumes EUR "&amp;TEXT(ABS(PL!$C$46)/1000,"#,##0")&amp;"k of EBITDA a year. Compute (GPUs, model APIs and hosting) costs "&amp;TEXT((PL!$C$67),"0.0%")&amp;" of revenue, against "&amp;TEXT(((History!$O$32+History!$O$34+History!$O$35+History!$O$36+History!$O$37)/History!$O$20),"0.0%")&amp;" in FY2025."</f>
        <v>Full-year outlook (Base): revenue EUR 6,615k, 39.4% growth on FY2025 and 3.8% below budget; gross margin 58.5%; an EBITDA loss of EUR 4,483k against a budgeted loss of EUR 4,473k. The research tax credit adds EUR 1,138k, 17% of revenue: before it the business consumes EUR 5,621k of EBITDA a year. Compute (GPUs, model APIs and hosting) costs 25.1% of revenue, against 26.1% in FY2025.</v>
      </c>
    </row>
    <row r="9" customFormat="false" ht="70.5" hidden="false" customHeight="true" outlineLevel="0" collapsed="false">
      <c r="B9" s="41" t="str">
        <f aca="false">"Price and cost per unit move together. List prices fell "&amp;TEXT(((1-Assumptions!$C$116/Assumptions!$C$113)),"0%")&amp;" in January and this case cuts them another "&amp;TEXT((Assumptions!$F$186),"0%")&amp;" in January 2027; customers keep their budgets, so each cut buys more usage and raises the cost to serve. Vendor B is the swing factor: at USD "&amp;TEXT((Assumptions!$F$187),"0.00")&amp;" per million tokens from October, the compute cost of 1,000 minutes of Voice AI falls from EUR "&amp;TEXT((Unit_Costs!$E$29),"0.00")&amp;" in January 2026 to EUR "&amp;TEXT((Unit_Costs!$D$29),"0.00")&amp;" over FY2027, while its realised price moves from EUR "&amp;TEXT((Unit_Costs!$C$28),"0.00")&amp;" in FY2026 to EUR "&amp;TEXT((Unit_Costs!$D$28),"0.00")&amp;". Gross margin reaches "&amp;TEXT((PL!$D$27),"0.0%")&amp;" in FY2027; each 10 cents on the vendor B price is worth about EUR "&amp;TEXT(((Usage_Compute!$D$28*0.1/Assumptions!$F$191))/1000,"#,##0")&amp;"k a year."</f>
        <v>Price and cost per unit move together. List prices fell 8% in January and this case cuts them another 10% in January 2027; customers keep their budgets, so each cut buys more usage and raises the cost to serve. Vendor B is the swing factor: at USD 1.50 per million tokens from October, the compute cost of 1,000 minutes of Voice AI falls from EUR 2.97 in January 2026 to EUR 2.31 over FY2027, while its realised price moves from EUR 7.46 in FY2026 to EUR 6.64. Gross margin reaches 61.9% in FY2027; each 10 cents on the vendor B price is worth about EUR 79k a year.</v>
      </c>
    </row>
    <row r="10" customFormat="false" ht="84" hidden="false" customHeight="true" outlineLevel="0" collapsed="false">
      <c r="B10" s="41" t="str">
        <f aca="false">"Cash is EUR "&amp;TEXT((INDEX(BS!$E$9:$AB$9,Assumptions!$C$10))/1000,"#,##0")&amp;"k at "&amp;TEXT(Assumptions!$C$9,"mmm-yy")&amp;" ("&amp;IF(BvA!D51&gt;=0,"EUR "&amp;TEXT((BvA!D51)/1000,"#,##0")&amp;"k more","EUR "&amp;TEXT(ABS(BvA!D51)/1000,"#,##0")&amp;"k less")&amp;" than budgeted), after the EUR "&amp;TEXT((Assumptions!$C$35)/1000,"#,##0")&amp;"k FY2025 research tax credit arrived in July. In the "&amp;Assumptions!$C$12&amp;" case cash is EUR "&amp;TEXT((Scenarios!F24)/1000,"#,##0")&amp;"k at December 2027, "&amp;IF(Scenarios!F27&gt;=0,"EUR "&amp;TEXT((Scenarios!F27)/1000,"#,##0")&amp;"k above "&amp;"the EUR "&amp;TEXT(Assumptions!$C$13/1000000,"0.0")&amp;"m buffer","EUR "&amp;TEXT(ABS(Scenarios!F27)/1000,"#,##0")&amp;"k below "&amp;"the EUR "&amp;TEXT(Assumptions!$C$13/1000000,"0.0")&amp;"m buffer")&amp;" at its lowest point"&amp;IF(KPIs!$D$49&gt;=60,", with the business generating cash.",IF(Scenarios!F27&lt;0,".",", and at the late-2027 burn the buffer is reached around "&amp;TEXT(EOMONTH(Assumptions!AB$203,ROUND(KPIs!$D$49,0)),"mmm-yy")&amp;"."))&amp;IF(Assumptions!$C$11=2,""," The Downside reaches "&amp;IF(Scenarios!D27&gt;=0,"EUR "&amp;TEXT((Scenarios!D27)/1000,"#,##0")&amp;"k above "&amp;"the EUR "&amp;TEXT(Assumptions!$C$13/1000000,"0.0")&amp;"m buffer","EUR "&amp;TEXT(ABS(Scenarios!D27)/1000,"#,##0")&amp;"k below "&amp;"the EUR "&amp;TEXT(Assumptions!$C$13/1000000,"0.0")&amp;"m buffer")&amp;" in "&amp;TEXT(Scenarios!D26,"mmm-yy")&amp;".")&amp;" The next equity round has to close in 2027 in every case; the process starts in the first quarter, while the headroom is still large."</f>
        <v>Cash is EUR 9,337k at Aug-26 (EUR 153k less than budgeted), after the EUR 936k FY2025 research tax credit arrived in July. In the Base case cash is EUR 3,526k at December 2027, EUR 526k above the EUR 3.0m buffer at its lowest point, and at the late-2027 burn the buffer is reached around Jan-28. The Downside reaches EUR 1,082k below the EUR 3.0m buffer in Nov-27. The next equity round has to close in 2027 in every case; the process starts in the first quarter, while the headroom is still large.</v>
      </c>
    </row>
    <row r="11" customFormat="false" ht="43.5" hidden="false" customHeight="true" outlineLevel="0" collapsed="false">
      <c r="B11" s="41" t="str">
        <f aca="false">"Three decisions belong in this quarter: the 2027 GPU reservation (this case: "&amp;TEXT((Assumptions!$F$189),"0")&amp;" GPUs against "&amp;TEXT((Assumptions!$C$159),"0")&amp;" today) with the Provider A commitment (USD "&amp;TEXT((Assumptions!$F$190)/1000,"#,##0")&amp;"k), the answer to the vendor B price in October, and the pricing of voice-heavy Enterprise renewals, which earn the lowest margins."</f>
        <v>Three decisions belong in this quarter: the 2027 GPU reservation (this case: 20 GPUs against 16 today) with the Provider A commitment (USD 800k), the answer to the vendor B price in October, and the pricing of voice-heavy Enterprise renewals, which earn the lowest margins.</v>
      </c>
    </row>
    <row r="12" customFormat="false" ht="15" hidden="false" customHeight="false" outlineLevel="0" collapsed="false">
      <c r="B12" s="39" t="s">
        <v>274</v>
      </c>
      <c r="C12" s="40"/>
      <c r="D12" s="40"/>
      <c r="E12" s="40"/>
      <c r="F12" s="40"/>
    </row>
    <row r="13" customFormat="false" ht="111" hidden="false" customHeight="true" outlineLevel="0" collapsed="false">
      <c r="B13" s="41" t="str">
        <f aca="false">"Revenue against budget by cause: Developer credits used "&amp;IF(BvA!E56&gt;=0,"added EUR "&amp;TEXT((BvA!E56)/1000,"#,##0")&amp;"k","cost EUR "&amp;TEXT(ABS(BvA!E56)/1000,"#,##0")&amp;"k")&amp;" and pack expiries "&amp;IF(BvA!E57&gt;=0,"added EUR "&amp;TEXT((BvA!E57)/1000,"#,##0")&amp;"k","cost EUR "&amp;TEXT(ABS(BvA!E57)/1000,"#,##0")&amp;"k")&amp;". Team customer numbers "&amp;IF(BvA!E58&gt;=0,"added EUR "&amp;TEXT((BvA!E58)/1000,"#,##0")&amp;"k","cost EUR "&amp;TEXT(ABS(BvA!E58)/1000,"#,##0")&amp;"k")&amp;" ("&amp;TEXT((AVERAGEIFS(Team!$E$9:$AB$9,Assumptions!$E$205:$AB$205,"A")),"0.0")&amp;" new customers a month against "&amp;TEXT(((SUMIFS(Budget_FY26!$E$53:$P$53,Assumptions!$E$204:$P$204,"&lt;="&amp;Assumptions!$C$10)/Assumptions!$C$10)),"0.0")&amp;" budgeted, and "&amp;TEXT((AVERAGEIFS(Team!$E$12:$AB$12,Assumptions!$E$205:$AB$205,"A")),"0.0%")&amp;" of customers lost each month against "&amp;TEXT((AVERAGEIFS(Budget_FY26!$E$55:$P$55,Assumptions!$E$204:$P$204,"&lt;="&amp;Assumptions!$C$10)),"0.0%")&amp;"), the plan fee per customer "&amp;IF(BvA!E59&gt;=0,"added EUR "&amp;TEXT((BvA!E59)/1000,"#,##0")&amp;"k","cost EUR "&amp;TEXT(ABS(BvA!E59)/1000,"#,##0")&amp;"k")&amp;" and usage above the allowance "&amp;IF(BvA!E60&gt;=0,"added EUR "&amp;TEXT((BvA!E60)/1000,"#,##0")&amp;"k","cost EUR "&amp;TEXT(ABS(BvA!E60)/1000,"#,##0")&amp;"k")&amp;". Enterprise: Pravenza Retail, which moved the workload to an in-house model built on an open-weights model at its March renewal, "&amp;IF(BvA!E61&gt;=0,"added EUR "&amp;TEXT((BvA!E61)/1000,"#,##0")&amp;"k","cost EUR "&amp;TEXT(ABS(BvA!E61)/1000,"#,##0")&amp;"k")&amp;"; new accounts "&amp;IF(BvA!E62&gt;=0,"added EUR "&amp;TEXT((BvA!E62)/1000,"#,##0")&amp;"k","cost EUR "&amp;TEXT(ABS(BvA!E62)/1000,"#,##0")&amp;"k")&amp;" (Brevalle Logistique from April and Maltessa Telecom from July, against four budgeted from March); the existing accounts "&amp;IF(BvA!E63&gt;=0,"added EUR "&amp;TEXT((BvA!E63)/1000,"#,##0")&amp;"k","cost EUR "&amp;TEXT(ABS(BvA!E63)/1000,"#,##0")&amp;"k")&amp;" through usage; the expected credit on the disputed Tervane invoice "&amp;IF(BvA!E64&gt;=0,"added EUR "&amp;TEXT((BvA!E64)/1000,"#,##0")&amp;"k","cost EUR "&amp;TEXT(ABS(BvA!E64)/1000,"#,##0")&amp;"k")&amp;"."</f>
        <v>Revenue against budget by cause: Developer credits used added EUR 17k and pack expiries cost EUR 1k. Team customer numbers cost EUR 46k (14.5 new customers a month against 17.6 budgeted, and 2.4% of customers lost each month against 2.2%), the plan fee per customer cost EUR 12k and usage above the allowance added EUR 25k. Enterprise: Pravenza Retail, which moved the workload to an in-house model built on an open-weights model at its March renewal, cost EUR 101k; new accounts cost EUR 42k (Brevalle Logistique from April and Maltessa Telecom from July, against four budgeted from March); the existing accounts added EUR 53k through usage; the expected credit on the disputed Tervane invoice cost EUR 5k.</v>
      </c>
    </row>
    <row r="14" customFormat="false" ht="84" hidden="false" customHeight="true" outlineLevel="0" collapsed="false">
      <c r="B14" s="41" t="str">
        <f aca="false">"Costs: model APIs are EUR "&amp;TEXT(ABS((BvA!D13+BvA!D14))/1000,"#,##0")&amp;"k over budget because vendor B kept its price at USD "&amp;TEXT((Assumptions!$C$150),"0.00")&amp;" per million tokens against the USD "&amp;TEXT((Budget_FY26!$L$69),"0.00")&amp;" budgeted from April. Reserved GPUs and hosting are EUR "&amp;TEXT((BvA!D11+BvA!D15)/1000,"#,##0")&amp;"k under budget, mostly because the dollar averaged "&amp;TEXT((AVERAGEIFS(Assumptions!$E$216:$AB$216,Assumptions!$E$205:$AB$205,"A")),"0.000")&amp;" to the euro against "&amp;TEXT((Budget_FY26!$L$70),"0.00")&amp;" budgeted. The expected Provider A shortfall costs EUR "&amp;TEXT(ABS(BvA!D16)/1000,"#,##0")&amp;"k. Payroll is EUR "&amp;TEXT(((BvA!D18+BvA!D22+BvA!D24+BvA!D27))/1000,"#,##0")&amp;"k below budget: "&amp;TEXT((SUMIFS(People!$E$39:$AB$39,Assumptions!$E$205:$AB$205,"A")),"0")&amp;" hires against "&amp;TEXT((SUMIFS(Budget_FY26!$E$68:$P$68,Assumptions!$E$204:$P$204,"&lt;="&amp;Assumptions!$C$10)),"0")&amp;" budgeted by "&amp;TEXT(Assumptions!$C$9,"mmmm")&amp;" and "&amp;TEXT(((History!$N$52+SUMIFS(People!$E$39:$AB$39,Assumptions!$E$205:$AB$205,"A")-INDEX(People!$E$22:$AB$22,Assumptions!$C$10))),"0")&amp;" leavers (a software engineer in May, a sales development representative in July, a machine learning engineer in August); the research tax credit is EUR "&amp;TEXT(ABS(BvA!D36)/1000,"#,##0")&amp;"k lower with it. Paid media is EUR "&amp;TEXT(ABS(BvA!D25)/1000,"#,##0")&amp;"k over budget with the March campaign."</f>
        <v>Costs: model APIs are EUR 31k over budget because vendor B kept its price at USD 2.00 per million tokens against the USD 1.60 budgeted from April. Reserved GPUs and hosting are EUR 18k under budget, mostly because the dollar averaged 1.163 to the euro against 1.10 budgeted. The expected Provider A shortfall costs EUR 98k. Payroll is EUR 124k below budget: 10 hires against 13 budgeted by August and 3 leavers (a software engineer in May, a sales development representative in July, a machine learning engineer in August); the research tax credit is EUR 26k lower with it. Paid media is EUR 22k over budget with the March campaign.</v>
      </c>
    </row>
    <row r="15" customFormat="false" ht="15" hidden="false" customHeight="false" outlineLevel="0" collapsed="false">
      <c r="B15" s="39" t="s">
        <v>275</v>
      </c>
      <c r="C15" s="40"/>
      <c r="D15" s="40"/>
      <c r="E15" s="40"/>
      <c r="F15" s="40"/>
    </row>
    <row r="16" customFormat="false" ht="57" hidden="false" customHeight="true" outlineLevel="0" collapsed="false">
      <c r="B16" s="41" t="str">
        <f aca="false">"FY2026 revenue by segment: Enterprise "&amp;TEXT((PL!$C$59/PL!$C$15),"0%")&amp;", Team "&amp;TEXT((PL!$C$58/PL!$C$15),"0%")&amp;", Developer "&amp;TEXT((PL!$C$57/PL!$C$15),"0%")&amp;". "&amp;TEXT((Revenue!$C$36),"0%")&amp;" of revenue is pure usage (Developer credits, Team usage above the allowance, Enterprise usage above commitments); the rest is committed. Enterprise accounts live a year ago now use "&amp;TEXT((INDEX(Enterprise!$E$220:$AB$220,Assumptions!$C$10)),"0%")&amp;" of what they used then (net revenue retention on usage), and Tervane Assurances, the largest account, renewed in "&amp;Account_Register!$X$7&amp;" at EUR "&amp;TEXT((Account_Register!$AC$7)/1000,"#,##0")&amp;"k against EUR "&amp;TEXT((Account_Register!$I$7)/1000,"#,##0")&amp;"k."</f>
        <v>FY2026 revenue by segment: Enterprise 47%, Team 37%, Developer 16%. 24% of revenue is pure usage (Developer credits, Team usage above the allowance, Enterprise usage above commitments); the rest is committed. Enterprise accounts live a year ago now use 117% of what they used then (net revenue retention on usage), and Tervane Assurances, the largest account, renewed in June at EUR 380k against EUR 350k.</v>
      </c>
    </row>
    <row r="17" customFormat="false" ht="70.5" hidden="false" customHeight="true" outlineLevel="0" collapsed="false">
      <c r="B17" s="41" t="str">
        <f aca="false">"Developer credits: EUR "&amp;TEXT((SUMIFS(Credits!$E$9:$AB$9,Assumptions!$E$205:$AB$205,"A"))/1000,"#,##0")&amp;"k of packs sold year to date; unused credits are a contract liability of EUR "&amp;TEXT((INDEX(Credits!$E$56:$AB$56,Assumptions!$C$10))/1000,"#,##0")&amp;"k (EUR "&amp;TEXT((INDEX(Credits!$E$59:$AB$59,Assumptions!$C$10))/1000,"#,##0")&amp;"k at face value). Revenue recognises the expected "&amp;TEXT((Assumptions!$C$119),"0%")&amp;" breakage as credits are used (IFRS 15.B46), EUR "&amp;TEXT((SUMIFS(Credits!$E$52:$AB$52,Assumptions!$E$205:$AB$205,"A"))/1000,"#,##0")&amp;"k year to date, supported by the 2024 packs, which expired with "&amp;TEXT((History!$F$113),"0.0%")&amp;" unused. The packs that expired this year were used a little more than expected: the true-ups "&amp;IF(SUMIFS(Credits!$E$50:$AB$50,Assumptions!$E$205:$AB$205,"A")&gt;=0,"added EUR "&amp;TEXT((SUMIFS(Credits!$E$50:$AB$50,Assumptions!$E$205:$AB$205,"A"))/1000,"#,##0")&amp;"k","cost EUR "&amp;TEXT(ABS(SUMIFS(Credits!$E$50:$AB$50,Assumptions!$E$205:$AB$205,"A"))/1000,"#,##0")&amp;"k")&amp;". Breakage is "&amp;TEXT((Credits!$C$52/Credits!$C$51),"0.0%")&amp;" of Developer revenue, so the rate is retested every quarter against the packs that expire."</f>
        <v>Developer credits: EUR 706k of packs sold year to date; unused credits are a contract liability of EUR 249k (EUR 342k at face value). Revenue recognises the expected 12% breakage as credits are used (IFRS 15.B46), EUR 76k year to date, supported by the 2024 packs, which expired with 12.2% unused. The packs that expired this year were used a little more than expected: the true-ups cost EUR 4k. Breakage is 10.8% of Developer revenue, so the rate is retested every quarter against the packs that expire.</v>
      </c>
    </row>
    <row r="18" customFormat="false" ht="70.5" hidden="false" customHeight="true" outlineLevel="0" collapsed="false">
      <c r="B18" s="41" t="str">
        <f aca="false">"Enterprise commitments are billed quarterly in advance and usage above the commitment monthly: at "&amp;TEXT(Assumptions!$C$9,"mmm-yy")&amp;" accounts have EUR "&amp;TEXT((INDEX(BS!$E$26:$AB$26,Assumptions!$C$10))/1000,"#,##0")&amp;"k billed ahead of usage (contract liabilities) and EUR "&amp;TEXT((INDEX(BS!$E$13:$AB$13,Assumptions!$C$10))/1000,"#,##0")&amp;"k of usage not yet billed (contract assets). Commitments not used by the end of a contract year are recognised then: EUR "&amp;TEXT((Revenue!$C$13)/1000,"#,##0")&amp;"k in FY2026, "&amp;TEXT((Revenue!$C$13/PL!$C$59),"0.0%")&amp;" of Enterprise revenue. That revenue comes from customers not using what they bought and is the first thing they negotiate away at renewal, so an account with unused commitment is treated as a churn signal."</f>
        <v>Enterprise commitments are billed quarterly in advance and usage above the commitment monthly: at Aug-26 accounts have EUR 419k billed ahead of usage (contract liabilities) and EUR 22k of usage not yet billed (contract assets). Commitments not used by the end of a contract year are recognised then: EUR 326k in FY2026, 10.4% of Enterprise revenue. That revenue comes from customers not using what they bought and is the first thing they negotiate away at renewal, so an account with unused commitment is treated as a churn signal.</v>
      </c>
    </row>
    <row r="19" customFormat="false" ht="43.5" hidden="false" customHeight="true" outlineLevel="0" collapsed="false">
      <c r="B19" s="41" t="str">
        <f aca="false">"Team: "&amp;TEXT((INDEX(Team!$E$11:$AB$11,Assumptions!$C$10)),"0")&amp;" customers at "&amp;TEXT(Assumptions!$C$9,"mmm-yy")&amp;" against "&amp;TEXT((INDEX(Budget_FY26!$E$52:$P$52,Assumptions!$C$10)),"0")&amp;" budgeted, paying EUR "&amp;TEXT((INDEX(Team!$E$14:$AB$14,Assumptions!$C$10)),"#,##0")&amp;" a month in plan fees, with usage above the allowance worth "&amp;TEXT(((SUMIFS(Team!$E$16:$AB$16,Assumptions!$E$205:$AB$205,"A")/SUMIFS(Team!$E$15:$AB$15,Assumptions!$E$205:$AB$205,"A"))),"0%")&amp;" of plan fees ("&amp;TEXT(((SUMIFS(Budget_FY26!$E$11:$P$11,Assumptions!$E$204:$P$204,"&lt;="&amp;Assumptions!$C$10)/SUMIFS(Budget_FY26!$E$10:$P$10,Assumptions!$E$204:$P$204,"&lt;="&amp;Assumptions!$C$10))),"0%")&amp;" budgeted). The hybrid plan works: customers who outgrow the allowance pay for it at list price instead of waiting for an upgrade."</f>
        <v>Team: 380 customers at Aug-26 against 409 budgeted, paying EUR 437 a month in plan fees, with usage above the allowance worth 23% of plan fees (20% budgeted). The hybrid plan works: customers who outgrow the allowance pay for it at list price instead of waiting for an upgrade.</v>
      </c>
    </row>
    <row r="20" customFormat="false" ht="15" hidden="false" customHeight="false" outlineLevel="0" collapsed="false">
      <c r="B20" s="39" t="s">
        <v>276</v>
      </c>
      <c r="C20" s="40"/>
      <c r="D20" s="40"/>
      <c r="E20" s="40"/>
      <c r="F20" s="40"/>
    </row>
    <row r="21" customFormat="false" ht="57" hidden="false" customHeight="true" outlineLevel="0" collapsed="false">
      <c r="B21" s="41" t="str">
        <f aca="false">"Compute per 1,000 units in FY2026 against the realised price: Document AI EUR "&amp;TEXT((Unit_Costs!$C$16),"0.00")&amp;" against EUR "&amp;TEXT((Unit_Costs!$C$15),"0.00")&amp;" ("&amp;TEXT((Unit_Costs!$C$19),"0%")&amp;" of revenue); Voice AI EUR "&amp;TEXT((Unit_Costs!$C$29),"0.00")&amp;" against EUR "&amp;TEXT((Unit_Costs!$C$28),"0.00")&amp;" ("&amp;TEXT((Unit_Costs!$C$32),"0%")&amp;"); Agent workspace EUR "&amp;TEXT((Unit_Costs!$C$42),"0.00")&amp;" against EUR "&amp;TEXT((Unit_Costs!$C$41),"0.00")&amp;" ("&amp;TEXT((Unit_Costs!$C$45),"0%")&amp;"). Model APIs are most of the cost of voice and agents (EUR "&amp;TEXT((Unit_Costs!$C$31),"0.00")&amp;" of the EUR "&amp;TEXT((Unit_Costs!$C$29),"0.00")&amp;" for 1,000 voice minutes); Document AI is the cheapest to serve, with GPU time of EUR "&amp;TEXT((Unit_Costs!$C$17),"0.00")&amp;" and vendor C models of EUR "&amp;TEXT((Unit_Costs!$C$18),"0.00")&amp;" per 1,000 pages."</f>
        <v>Compute per 1,000 units in FY2026 against the realised price: Document AI EUR 1.34 against EUR 10.13 (13% of revenue); Voice AI EUR 2.78 against EUR 7.46 (37%); Agent workspace EUR 5.45 against EUR 17.56 (31%). Model APIs are most of the cost of voice and agents (EUR 1.93 of the EUR 2.78 for 1,000 voice minutes); Document AI is the cheapest to serve, with GPU time of EUR 0.35 and vendor C models of EUR 0.40 per 1,000 pages.</v>
      </c>
    </row>
    <row r="22" customFormat="false" ht="70.5" hidden="false" customHeight="true" outlineLevel="0" collapsed="false">
      <c r="B22" s="41" t="str">
        <f aca="false">"GPU hours per unit fell "&amp;TEXT(((1-Assumptions!H$217/Assumptions!E$217)),"0%")&amp;" a quarter this year through batching and model optimisation; this case assumes "&amp;TEXT((Assumptions!$F$188),"0%")&amp;" a quarter from October. Because customers keep their budgets, the January 2027 price cut buys more units: in FY2027 Voice AI earns EUR "&amp;TEXT((Unit_Costs!$D$28),"0.00")&amp;" per 1,000 minutes and costs EUR "&amp;TEXT((Unit_Costs!$D$29),"0.00")&amp;" to serve, a contribution of EUR "&amp;TEXT((Unit_Costs!$D$33),"0.00")&amp;" against EUR "&amp;TEXT((Unit_Costs!$C$33),"0.00")&amp;" in FY2026; Agent workspace moves from EUR "&amp;TEXT((Unit_Costs!$C$46),"0.00")&amp;" to EUR "&amp;TEXT((Unit_Costs!$D$46),"0.00")&amp;". The 2027 price cut is affordable only if vendor B moves: the price list for 2027 should wait for its October answer."</f>
        <v>GPU hours per unit fell 2% a quarter this year through batching and model optimisation; this case assumes 3% a quarter from October. Because customers keep their budgets, the January 2027 price cut buys more units: in FY2027 Voice AI earns EUR 6.64 per 1,000 minutes and costs EUR 2.31 to serve, a contribution of EUR 4.33 against EUR 4.68 in FY2026; Agent workspace moves from EUR 12.11 to EUR 11.21. The 2027 price cut is affordable only if vendor B moves: the price list for 2027 should wait for its October answer.</v>
      </c>
    </row>
    <row r="23" customFormat="false" ht="15" hidden="false" customHeight="false" outlineLevel="0" collapsed="false">
      <c r="B23" s="39" t="s">
        <v>277</v>
      </c>
      <c r="C23" s="40"/>
      <c r="D23" s="40"/>
      <c r="E23" s="40"/>
      <c r="F23" s="40"/>
    </row>
    <row r="24" customFormat="false" ht="43.5" hidden="false" customHeight="true" outlineLevel="0" collapsed="false">
      <c r="B24" s="41" t="str">
        <f aca="false">"Gross margin after compute, card fees and the solutions and support team, FY2026: Document AI "&amp;TEXT((Margins!$C$14),"0%")&amp;", Voice AI "&amp;TEXT((Margins!$C$21),"0%")&amp;", Agent workspace "&amp;TEXT((Margins!$C$28),"0%")&amp;"; by segment Developer "&amp;TEXT((Margins!$C$35),"0%")&amp;", Team "&amp;TEXT((Margins!$C$41),"0%")&amp;", Enterprise "&amp;TEXT((Margins!$C$47),"0%")&amp;". Enterprise earns less because of its discounts ("&amp;TEXT((MIN(Account_Register!$Q$7:$Q$21)),"0%")&amp;" to "&amp;TEXT((MAX(Account_Register!$Q$7:$Q$21)),"0%")&amp;" off list) and its voice-heavy accounts. In FY2027 the margins move to "&amp;TEXT((Margins!$D$14),"0%")&amp;", "&amp;TEXT((Margins!$D$21),"0%")&amp;" and "&amp;TEXT((Margins!$D$28),"0%")&amp;"."</f>
        <v>Gross margin after compute, card fees and the solutions and support team, FY2026: Document AI 72%, Voice AI 48%, Agent workspace 54%; by segment Developer 64%, Team 63%, Enterprise 56%. Enterprise earns less because of its discounts (25% to 35% off list) and its voice-heavy accounts. In FY2027 the margins move to 72%, 51% and 57%.</v>
      </c>
    </row>
    <row r="25" customFormat="false" ht="43.5" hidden="false" customHeight="true" outlineLevel="0" collapsed="false">
      <c r="B25" s="41" t="str">
        <f aca="false">"By account, FY2026 margins run from "&amp;TEXT((MIN(Account_Register!$AI$7:$AI$21)),"0%")&amp;" ("&amp;INDEX(Account_Register!$B$7:$B$21,MATCH(MIN(Account_Register!$AI$7:$AI$21),Account_Register!$AI$7:$AI$21,0))&amp;") to "&amp;TEXT((MAX(Account_Register!$AI$7:$AI$21)),"0%")&amp;" ("&amp;INDEX(Account_Register!$B$7:$B$21,MATCH(MAX(Account_Register!$AI$7:$AI$21),Account_Register!$AI$7:$AI$21,0))&amp;"). Maltessa Telecom brings a voice-heavy telecoms workload at a "&amp;TEXT((Account_Register!$Q$21),"0%")&amp;" discount and is the largest new commitment of the year (EUR "&amp;TEXT((Account_Register!$I$21)/1000,"#,##0")&amp;"k), so its first renewal in "&amp;TEXT(EDATE(Account_Register!$F$21,12),"mmmm yyyy")&amp;" is the moment to reprice. The largest account, "&amp;INDEX(Account_Register!$B$7:$B$26,MATCH(MAX(Account_Register!$AF$7:$AF$26),Account_Register!$AF$7:$AF$26,0))&amp;", is "&amp;TEXT((MAX(Account_Register!$AF$7:$AF$26)),"0.0%")&amp;" of FY2026 revenue: the book carries no single-account concentration."</f>
        <v>By account, FY2026 margins run from 43% (Maltessa Telecom) to 65% (Draxholm Logistik). Maltessa Telecom brings a voice-heavy telecoms workload at a 32% discount and is the largest new commitment of the year (EUR 300k), so its first renewal in July 2027 is the moment to reprice. The largest account, Tervane Assurances, is 6.6% of FY2026 revenue: the book carries no single-account concentration.</v>
      </c>
    </row>
    <row r="26" customFormat="false" ht="15" hidden="false" customHeight="false" outlineLevel="0" collapsed="false">
      <c r="B26" s="39" t="s">
        <v>278</v>
      </c>
      <c r="C26" s="40"/>
      <c r="D26" s="40"/>
      <c r="E26" s="40"/>
      <c r="F26" s="40"/>
    </row>
    <row r="27" customFormat="false" ht="57" hidden="false" customHeight="true" outlineLevel="0" collapsed="false">
      <c r="B27" s="41" t="str">
        <f aca="false">"Inference used "&amp;TEXT((Usage_Compute!$E$26),"0%")&amp;" of the usable reserved GPU hours in January and "&amp;TEXT((INDEX(Usage_Compute!$E$26:$AB$26,Assumptions!$C$10)),"0%")&amp;" in "&amp;TEXT(Assumptions!$C$9,"mmm-yy")&amp;". Research jobs run in the hours inference leaves and fell from "&amp;TEXT((Usage_Compute!$E$23),"#,##0")&amp;" hours in January to "&amp;TEXT((INDEX(Usage_Compute!$E$23:$AB$23,Assumptions!$C$10)),"#,##0")&amp;" in "&amp;TEXT(Assumptions!$C$9,"mmm-yy")&amp;"; by December inference needs "&amp;TEXT((Usage_Compute!$P$26),"0%")&amp;" of the usable hours. This case reserves "&amp;TEXT((Assumptions!$F$189),"0")&amp;" GPUs for 2027: research gets "&amp;TEXT((Usage_Compute!$D$23/12),"#,##0")&amp;" hours a month on average against the "&amp;TEXT((Assumptions!$C$160),"#,##0")&amp;" it asks for"&amp;IF(Usage_Compute!$D$22&gt;0,", and inference still needs "&amp;TEXT((Usage_Compute!$D$22),"#,##0")&amp;" on-demand hours at USD "&amp;TEXT((Assumptions!$C$157),"0.00")&amp;" an hour.",", with no on-demand hours needed.")</f>
        <v>Inference used 77% of the usable reserved GPU hours in January and 89% in Aug-26. Research jobs run in the hours inference leaves and fell from 2,000 hours in January to 1,063 in Aug-26; by December inference needs 96% of the usable hours. This case reserves 20 GPUs for 2027: research gets 919 hours a month on average against the 2,000 it asks for, with no on-demand hours needed.</v>
      </c>
    </row>
    <row r="28" customFormat="false" ht="57" hidden="false" customHeight="true" outlineLevel="0" collapsed="false">
      <c r="B28" s="41" t="str">
        <f aca="false">"Provider A: the 2026 commitment of USD "&amp;TEXT((Assumptions!$C$162)/1000,"#,##0")&amp;"k will be used to "&amp;TEXT((Commitments!$C$11/Assumptions!$C$162),"0%")&amp;" (full-year spend USD "&amp;TEXT((Commitments!$C$11)/1000,"#,##0")&amp;"k), leaving a shortfall of USD "&amp;TEXT((Commitments!$C$12)/1000,"#,##0")&amp;"k that is invoiced in December. The commitment is onerous for that amount (IAS 37): EUR "&amp;TEXT(ABS(PL!$C$22)/1000,"#,##0")&amp;"k is charged in FY2026, from June, when the shortfall became expected. For 2027, USD "&amp;TEXT((Assumptions!$F$190)/1000,"#,##0")&amp;"k against USD "&amp;TEXT((Commitments!$D$11)/1000,"#,##0")&amp;"k of expected spend "&amp;IF(Commitments!$D$12&gt;0,"leaves a shortfall of USD "&amp;TEXT((Commitments!$D$12)/1000,"#,##0")&amp;"k.","is covered by the plan.")&amp;" Before signing, negotiate the 2026 shortfall into the 2027 commitment."</f>
        <v>Provider A: the 2026 commitment of USD 780k will be used to 85% (full-year spend USD 666k), leaving a shortfall of USD 114k that is invoiced in December. The commitment is onerous for that amount (IAS 37): EUR 99k is charged in FY2026, from June, when the shortfall became expected. For 2027, USD 800k against USD 816k of expected spend is covered by the plan. Before signing, negotiate the 2026 shortfall into the 2027 commitment.</v>
      </c>
    </row>
    <row r="29" customFormat="false" ht="43.5" hidden="false" customHeight="true" outlineLevel="0" collapsed="false">
      <c r="B29" s="41" t="str">
        <f aca="false">"Concentration: "&amp;TEXT((Usage_Compute!$C$53),"0%")&amp;" of FY2026 revenue runs on vendor B models (voice and agents) and vendor B takes "&amp;TEXT((Usage_Compute!$C$51),"0%")&amp;" of compute spend; Provider A takes "&amp;TEXT((Usage_Compute!$C$50),"0%")&amp;" and vendor C "&amp;TEXT((Usage_Compute!$C$52),"0%")&amp;". A vendor B price rise or outage reaches more than half of revenue within days. The mitigation is a second voice model qualified by the end of the year and routing that can move workloads between models."</f>
        <v>Concentration: 56% of FY2026 revenue runs on vendor B models (voice and agents) and vendor B takes 59% of compute spend; Provider A takes 34% and vendor C 7%. A vendor B price rise or outage reaches more than half of revenue within days. The mitigation is a second voice model qualified by the end of the year and routing that can move workloads between models.</v>
      </c>
    </row>
    <row r="30" customFormat="false" ht="15" hidden="false" customHeight="false" outlineLevel="0" collapsed="false">
      <c r="B30" s="39" t="s">
        <v>279</v>
      </c>
      <c r="C30" s="40"/>
      <c r="D30" s="40"/>
      <c r="E30" s="40"/>
      <c r="F30" s="40"/>
    </row>
    <row r="31" customFormat="false" ht="70.5" hidden="false" customHeight="true" outlineLevel="0" collapsed="false">
      <c r="B31" s="41" t="str">
        <f aca="false">"Headcount is "&amp;TEXT((INDEX(People!$E$22:$AB$22,Assumptions!$C$10)),"0")&amp;" at "&amp;TEXT(Assumptions!$C$9,"mmm-yy")&amp;" against "&amp;TEXT((INDEX(Budget_FY26!$E$67:$P$67,Assumptions!$C$10)),"0")&amp;" budgeted, and "&amp;TEXT((Scenarios!F30),"0")&amp;" at December 2027 in the "&amp;Assumptions!$C$12&amp;" case"&amp;IF(Assumptions!$F$194&lt;1," (half the hiring plan and half of leavers replaced).",", with "&amp;TEXT((SUM(People!$E$38:$AB$38)),"0")&amp;" hires planned from October 2026 to September 2027 and leavers replaced after two months.")&amp;" Payroll with employer contributions is "&amp;TEXT(((-(PL!$C$24+PL!$C$29+PL!$C$31+PL!$C$34)/PL!$C$15)),"0%")&amp;" of FY2026 revenue. From January the general degressive reduction (RGDU) replaced the old reductions and the reduced health and family allowance rates: it saves EUR "&amp;TEXT((People!$C$253)/1000,"#,##0")&amp;"k in FY2026 on support, sales development, marketing and finance pay below three times the minimum wage; research and engineering pay sits above that line and gets none."</f>
        <v>Headcount is 77 at Aug-26 against 83 budgeted, and 90 at December 2027 in the Base case, with 15 hires planned from October 2026 to September 2027 and leavers replaced after two months. Payroll with employer contributions is 129% of FY2026 revenue. From January the general degressive reduction (RGDU) replaced the old reductions and the reduced health and family allowance rates: it saves EUR 46k in FY2026 on support, sales development, marketing and finance pay below three times the minimum wage; research and engineering pay sits above that line and gets none.</v>
      </c>
    </row>
    <row r="32" customFormat="false" ht="70.5" hidden="false" customHeight="true" outlineLevel="0" collapsed="false">
      <c r="B32" s="41" t="str">
        <f aca="false">"The research tax credit: EUR "&amp;TEXT((PL!$C$43)/1000,"#,##0")&amp;"k accrued for FY2026, "&amp;TEXT((Research_Credit!$C$18),"0%")&amp;" of research and development payroll cost. The FY2025 claim of EUR "&amp;TEXT((Assumptions!$C$35)/1000,"#,##0")&amp;"k was refunded in July, two months after it was filed; this case expects the FY2026 claim in "&amp;TEXT(Assumptions!$F$192,"mmm-yy")&amp;". The refund in cash depends on the company being an SME under the EU definition, which the tax adviser has to confirm against the holdings of the venture funds, and the time records behind the claim are what a tax audit asks for first."&amp;" JEI status is not available: the company was founded in 2014 and the status requires less than eleven years."</f>
        <v>The research tax credit: EUR 1,138k accrued for FY2026, 22% of research and development payroll cost. The FY2025 claim of EUR 936k was refunded in July, two months after it was filed; this case expects the FY2026 claim in Sep-27. The refund in cash depends on the company being an SME under the EU definition, which the tax adviser has to confirm against the holdings of the venture funds, and the time records behind the claim are what a tax audit asks for first. JEI status is not available: the company was founded in 2014 and the status requires less than eleven years.</v>
      </c>
    </row>
    <row r="33" customFormat="false" ht="15" hidden="false" customHeight="false" outlineLevel="0" collapsed="false">
      <c r="B33" s="39" t="s">
        <v>280</v>
      </c>
      <c r="C33" s="40"/>
      <c r="D33" s="40"/>
      <c r="E33" s="40"/>
      <c r="F33" s="40"/>
    </row>
    <row r="34" customFormat="false" ht="70.5" hidden="false" customHeight="true" outlineLevel="0" collapsed="false">
      <c r="B34" s="41" t="str">
        <f aca="false">"The 13 weeks from "&amp;TEXT(Cash_13W!H7,"d mmmm")&amp;": opening cash EUR "&amp;TEXT((Cash_13W!C81)/1000,"#,##0")&amp;"k, receipts EUR "&amp;TEXT((Cash_13W!U64)/1000,"#,##0")&amp;"k, payments EUR "&amp;TEXT(ABS(Cash_13W!U78)/1000,"#,##0")&amp;"k, closing EUR "&amp;TEXT((Cash_13W!T82)/1000,"#,##0")&amp;"k on "&amp;TEXT(Cash_13W!T6,"d mmmm")&amp;". The low point is EUR "&amp;TEXT((Cash_13W!C88)/1000,"#,##0")&amp;"k in the week ending "&amp;TEXT(Cash_13W!C89,"dd-mmm")&amp;", "&amp;IF(Cash_13W!C90&gt;=0,"EUR "&amp;TEXT((Cash_13W!C90)/1000,"#,##0")&amp;"k above "&amp;"the EUR "&amp;TEXT(Assumptions!$C$13/1000000,"0.0")&amp;"m buffer","EUR "&amp;TEXT(ABS(Cash_13W!C90)/1000,"#,##0")&amp;"k below "&amp;"the EUR "&amp;TEXT(Assumptions!$C$13/1000000,"0.0")&amp;"m buffer")&amp;". The month has a fixed rhythm: URSSAF and income tax withheld on the 5th (EUR "&amp;TEXT((People!$N$241+People!$N$244)/1000,"#,##0")&amp;"k in October), Provider A and vendor B in dollars on the 15th (EUR "&amp;TEXT((Payables!$N$11)/1000,"#,##0")&amp;"k), VAT on the 19th, Agirc-Arrco by the 25th and salaries on the last working day; October also carries the quarterly rent (EUR "&amp;TEXT((Overheads!$N$20)/1000,"#,##0")&amp;"k)."</f>
        <v>The 13 weeks from 12 September: opening cash EUR 9,081k, receipts EUR 1,932k, payments EUR 3,183k, closing EUR 7,830k on 11 December. The low point is EUR 7,830k in the week ending 11-Dec, EUR 4,830k above the EUR 3.0m buffer. The month has a fixed rhythm: URSSAF and income tax withheld on the 5th (EUR 285k in October), Provider A and vendor B in dollars on the 15th (EUR 144k), VAT on the 19th, Agirc-Arrco by the 25th and salaries on the last working day; October also carries the quarterly rent (EUR 122k).</v>
      </c>
    </row>
    <row r="35" customFormat="false" ht="84" hidden="false" customHeight="true" outlineLevel="0" collapsed="false">
      <c r="B35" s="41" t="str">
        <f aca="false">"VAT is monthly. VAT on services falls due when customers pay, so the French Enterprise invoices carry EUR "&amp;TEXT((INDEX(Receivables!$E$22:$AB$22,Assumptions!$C$10))/1000,"#,##0")&amp;"k of VAT that becomes payable only on collection; services sold to EU businesses are reverse charged and declared on the DES. E-invoicing: the company must receive electronic invoices from 1 September 2026 and, as an SME, issue them from 1"&amp;" September 2027, so the billing system needs its approved-platform connection in the 2027 budget. No corporate income tax is due: tax losses of EUR "&amp;TEXT((Assumptions!$C$29)/1000000,"0.00")&amp;"m at the start of the year grow to EUR "&amp;TEXT((Tax!$D$14)/1000000,"0.00")&amp;"m by December 2027, and the research tax credit is not taxable. Dollar invoices are paid a month after they are booked: the exchange difference is "&amp;IF(PL!$C$51&gt;=0,"a gain of EUR "&amp;TEXT((PL!$C$51)/1000,"#,##0")&amp;"k","a loss of EUR "&amp;TEXT(ABS(PL!$C$51)/1000,"#,##0")&amp;"k")&amp;" for FY2026."</f>
        <v>VAT is monthly. VAT on services falls due when customers pay, so the French Enterprise invoices carry EUR 29k of VAT that becomes payable only on collection; services sold to EU businesses are reverse charged and declared on the DES. E-invoicing: the company must receive electronic invoices from 1 September 2026 and, as an SME, issue them from 1 September 2027, so the billing system needs its approved-platform connection in the 2027 budget. No corporate income tax is due: tax losses of EUR 15.49m at the start of the year grow to EUR 26.45m by December 2027, and the research tax credit is not taxable. Dollar invoices are paid a month after they are booked: the exchange difference is a loss of EUR 3k for FY2026.</v>
      </c>
    </row>
    <row r="36" customFormat="false" ht="15" hidden="false" customHeight="false" outlineLevel="0" collapsed="false">
      <c r="B36" s="39" t="s">
        <v>281</v>
      </c>
      <c r="C36" s="40"/>
      <c r="D36" s="40"/>
      <c r="E36" s="40"/>
      <c r="F36" s="40"/>
    </row>
    <row r="37" customFormat="false" ht="124.5" hidden="false" customHeight="true" outlineLevel="0" collapsed="false">
      <c r="B37" s="41" t="str">
        <f aca="false">"Base: FY2027 revenue EUR "&amp;TEXT((Scenarios!C10)/1000,"#,##0")&amp;"k ("&amp;IF(Scenarios!C11&gt;=0,TEXT(Scenarios!C11,"0.0%")&amp;" growth",TEXT(ABS(Scenarios!C11),"0.0%")&amp;" decline")&amp;"), gross margin "&amp;TEXT((Scenarios!C13),"0.0%")&amp;", "&amp;IF(Scenarios!C16&lt;0,"an EBITDA loss of EUR "&amp;TEXT(ABS(Scenarios!C16)/1000,"#,##0")&amp;"k","EBITDA of EUR "&amp;TEXT((Scenarios!C16)/1000,"#,##0")&amp;"k")&amp;", cash EUR "&amp;TEXT((Scenarios!C24)/1000,"#,##0")&amp;"k at December 2027 ("&amp;IF(Scenarios!C27&gt;=0,"EUR "&amp;TEXT((Scenarios!C27)/1000,"#,##0")&amp;"k above "&amp;"the EUR "&amp;TEXT(Assumptions!$C$13/1000000,"0.0")&amp;"m buffer","EUR "&amp;TEXT(ABS(Scenarios!C27)/1000,"#,##0")&amp;"k below "&amp;"the EUR "&amp;TEXT(Assumptions!$C$13/1000000,"0.0")&amp;"m buffer")&amp;" at the lowest point). Downside (a price war and a slower market: list prices cut "&amp;TEXT((Assumptions!$D$186),"0%")&amp;" in January 2027, vendor B at USD "&amp;TEXT((Assumptions!$D$187),"0.00")&amp;", the dollar at "&amp;TEXT((Assumptions!$D$191),"0.00")&amp;", Enterprise usage growth halved, renewals without uplift and at lower probabilities, the pipeline two months later, weaker Team and Developer demand, customers "&amp;TEXT((Assumptions!$D$198),"0")&amp;" days slower; response: half the hiring plan, half of leavers replaced, marketing "&amp;TEXT((1-Assumptions!$D$197),"0%")&amp;" lower, "&amp;TEXT((Assumptions!$D$189),"0")&amp;" GPUs): revenue EUR "&amp;TEXT((Scenarios!D10)/1000,"#,##0")&amp;"k ("&amp;IF(Scenarios!D11&gt;=0,TEXT(Scenarios!D11,"0.0%")&amp;" growth",TEXT(ABS(Scenarios!D11),"0.0%")&amp;" decline")&amp;"), gross margin "&amp;TEXT((Scenarios!D13),"0.0%")&amp;", "&amp;IF(Scenarios!D16&lt;0,"an EBITDA loss of EUR "&amp;TEXT(ABS(Scenarios!D16)/1000,"#,##0")&amp;"k","EBITDA of EUR "&amp;TEXT((Scenarios!D16)/1000,"#,##0")&amp;"k")&amp;", lowest cash EUR "&amp;TEXT((Scenarios!D25)/1000,"#,##0")&amp;"k in "&amp;TEXT(Scenarios!D26,"mmm-yy")&amp;" ("&amp;IF(Scenarios!D27&gt;=0,"EUR "&amp;TEXT((Scenarios!D27)/1000,"#,##0")&amp;"k above "&amp;"the EUR "&amp;TEXT(Assumptions!$C$13/1000000,"0.0")&amp;"m buffer","EUR "&amp;TEXT(ABS(Scenarios!D27)/1000,"#,##0")&amp;"k below "&amp;"the EUR "&amp;TEXT(Assumptions!$C$13/1000000,"0.0")&amp;"m buffer")&amp;"). Upside: revenue EUR "&amp;TEXT((Scenarios!E10)/1000,"#,##0")&amp;"k, gross margin "&amp;TEXT((Scenarios!E13),"0.0%")&amp;", "&amp;IF(Scenarios!E16&lt;0,"an EBITDA loss of EUR "&amp;TEXT(ABS(Scenarios!E16)/1000,"#,##0")&amp;"k","EBITDA of EUR "&amp;TEXT((Scenarios!E16)/1000,"#,##0")&amp;"k")&amp;", cash EUR "&amp;TEXT((Scenarios!E24)/1000,"#,##0")&amp;"k at December 2027."</f>
        <v>Base: FY2027 revenue EUR 8,684k (31.3% growth), gross margin 61.9%, an EBITDA loss of EUR 4,112k, cash EUR 3,526k at December 2027 (EUR 526k above the EUR 3.0m buffer at the lowest point). Downside (a price war and a slower market: list prices cut 20% in January 2027, vendor B at USD 1.80, the dollar at 1.08, Enterprise usage growth halved, renewals without uplift and at lower probabilities, the pipeline two months later, weaker Team and Developer demand, customers 15 days slower; response: half the hiring plan, half of leavers replaced, marketing 20% lower, 18 GPUs): revenue EUR 6,948k (7.5% growth), gross margin 53.0%, an EBITDA loss of EUR 4,790k, lowest cash EUR 1,918k in Nov-27 (EUR 1,082k below the EUR 3.0m buffer). Upside: revenue EUR 9,599k, gross margin 65.8%, an EBITDA loss of EUR 3,344k, cash EUR 4,379k at December 2027.</v>
      </c>
    </row>
    <row r="38" customFormat="false" ht="70.5" hidden="false" customHeight="true" outlineLevel="0" collapsed="false">
      <c r="B38" s="41" t="str">
        <f aca="false">"The Downside sets the funding timetable: "&amp;IF(Scenarios!D27&lt;0,"cash falls "&amp;IF(Scenarios!D27&gt;=0,"EUR "&amp;TEXT((Scenarios!D27)/1000,"#,##0")&amp;"k above "&amp;"the EUR "&amp;TEXT(Assumptions!$C$13/1000000,"0.0")&amp;"m buffer","EUR "&amp;TEXT(ABS(Scenarios!D27)/1000,"#,##0")&amp;"k below "&amp;"the EUR "&amp;TEXT(Assumptions!$C$13/1000000,"0.0")&amp;"m buffer")&amp;" by "&amp;TEXT(Scenarios!D26,"mmm-yy")&amp;" even with the response in place.","cash stays "&amp;IF(Scenarios!D27&gt;=0,"EUR "&amp;TEXT((Scenarios!D27)/1000,"#,##0")&amp;"k above "&amp;"the EUR "&amp;TEXT(Assumptions!$C$13/1000000,"0.0")&amp;"m buffer","EUR "&amp;TEXT(ABS(Scenarios!D27)/1000,"#,##0")&amp;"k below "&amp;"the EUR "&amp;TEXT(Assumptions!$C$13/1000000,"0.0")&amp;"m buffer")&amp;" with the response in place.")&amp;" Triggers, reviewed monthly: vendor B price for the fourth quarter above USD 1.70 per million tokens; Enterprise net revenue retention on usage below 105%; Team customers lost above 3% a month for two months; a renewal lost among the five"&amp;" largest accounts; headroom over the buffer below EUR 2.5m on the 13-week forecast."</f>
        <v>The Downside sets the funding timetable: cash falls EUR 1,082k below the EUR 3.0m buffer by Nov-27 even with the response in place. Triggers, reviewed monthly: vendor B price for the fourth quarter above USD 1.70 per million tokens; Enterprise net revenue retention on usage below 105%; Team customers lost above 3% a month for two months; a renewal lost among the five largest accounts; headroom over the buffer below EUR 2.5m on the 13-week forecast.</v>
      </c>
    </row>
    <row r="39" customFormat="false" ht="15" hidden="false" customHeight="false" outlineLevel="0" collapsed="false">
      <c r="B39" s="39" t="s">
        <v>282</v>
      </c>
      <c r="C39" s="40"/>
      <c r="D39" s="40"/>
      <c r="E39" s="40"/>
      <c r="F39" s="40"/>
    </row>
    <row r="40" customFormat="false" ht="15" hidden="false" customHeight="false" outlineLevel="0" collapsed="false">
      <c r="B40" s="42" t="s">
        <v>283</v>
      </c>
      <c r="C40" s="43" t="s">
        <v>284</v>
      </c>
      <c r="D40" s="43" t="s">
        <v>285</v>
      </c>
      <c r="E40" s="43" t="s">
        <v>286</v>
      </c>
      <c r="F40" s="43" t="s">
        <v>287</v>
      </c>
    </row>
    <row r="41" customFormat="false" ht="43.5" hidden="false" customHeight="true" outlineLevel="0" collapsed="false">
      <c r="B41" s="41" t="str">
        <f aca="false">"Funding: at its lowest point ("&amp;TEXT(Scenarios!F26,"mmm-yy")&amp;") the "&amp;Assumptions!$C$12&amp;" case is "&amp;IF(Scenarios!F27&gt;=0,"EUR "&amp;TEXT((Scenarios!F27)/1000,"#,##0")&amp;"k above "&amp;"the EUR "&amp;TEXT(Assumptions!$C$13/1000000,"0.0")&amp;"m buffer","EUR "&amp;TEXT(ABS(Scenarios!F27)/1000,"#,##0")&amp;"k below "&amp;"the EUR "&amp;TEXT(Assumptions!$C$13/1000000,"0.0")&amp;"m buffer")&amp;IF(Assumptions!$C$11=2,"","; the Downside is "&amp;IF(Scenarios!D27&gt;=0,"EUR "&amp;TEXT((Scenarios!D27)/1000,"#,##0")&amp;"k above "&amp;"the EUR "&amp;TEXT(Assumptions!$C$13/1000000,"0.0")&amp;"m buffer","EUR "&amp;TEXT(ABS(Scenarios!D27)/1000,"#,##0")&amp;"k below "&amp;"the EUR "&amp;TEXT(Assumptions!$C$13/1000000,"0.0")&amp;"m buffer")&amp;" in "&amp;TEXT(Scenarios!D26,"mmm-yy"))&amp;". The business burns about EUR "&amp;TEXT((Scenarios!F29/12)/1000,"#,##0")&amp;"k a month in FY2027."</f>
        <v>Funding: at its lowest point (Dec-27) the Base case is EUR 526k above the EUR 3.0m buffer; the Downside is EUR 1,082k below the EUR 3.0m buffer in Nov-27. The business burns about EUR 356k a month in FY2027.</v>
      </c>
      <c r="C41" s="44" t="n">
        <v>4</v>
      </c>
      <c r="D41" s="44" t="n">
        <v>5</v>
      </c>
      <c r="E41" s="45" t="n">
        <f aca="false">C41*D41</f>
        <v>20</v>
      </c>
      <c r="F41" s="46" t="s">
        <v>288</v>
      </c>
    </row>
    <row r="42" customFormat="false" ht="43.5" hidden="false" customHeight="true" outlineLevel="0" collapsed="false">
      <c r="B42" s="41" t="str">
        <f aca="false">"Vendor B: "&amp;TEXT((Usage_Compute!$C$53),"0%")&amp;" of revenue runs on its models; its fourth-quarter price is not confirmed and a rise or outage hits voice and agents at once"</f>
        <v>Vendor B: 56% of revenue runs on its models; its fourth-quarter price is not confirmed and a rise or outage hits voice and agents at once</v>
      </c>
      <c r="C42" s="44" t="n">
        <v>4</v>
      </c>
      <c r="D42" s="44" t="n">
        <v>4</v>
      </c>
      <c r="E42" s="45" t="n">
        <f aca="false">C42*D42</f>
        <v>16</v>
      </c>
      <c r="F42" s="46" t="s">
        <v>289</v>
      </c>
    </row>
    <row r="43" customFormat="false" ht="43.5" hidden="false" customHeight="true" outlineLevel="0" collapsed="false">
      <c r="B43" s="41" t="str">
        <f aca="false">"Price pressure: list prices down "&amp;TEXT(((1-Assumptions!$C$116/Assumptions!$C$113)),"0%")&amp;" in 2026 and "&amp;TEXT((Assumptions!$F$186),"0%")&amp;" planned for 2027; the Downside tests "&amp;TEXT((Assumptions!$D$186),"0%")&amp;""</f>
        <v>Price pressure: list prices down 8% in 2026 and 10% planned for 2027; the Downside tests 20%</v>
      </c>
      <c r="C43" s="44" t="n">
        <v>3</v>
      </c>
      <c r="D43" s="44" t="n">
        <v>4</v>
      </c>
      <c r="E43" s="45" t="n">
        <f aca="false">C43*D43</f>
        <v>12</v>
      </c>
      <c r="F43" s="46" t="s">
        <v>290</v>
      </c>
    </row>
    <row r="44" customFormat="false" ht="30" hidden="false" customHeight="true" outlineLevel="0" collapsed="false">
      <c r="B44" s="41" t="str">
        <f aca="false">"GPU capacity: inference needs "&amp;TEXT((Usage_Compute!$P$26),"0%")&amp;" of usable reserved hours by December; research hours are squeezed; on-demand GPUs cost "&amp;TEXT(((Assumptions!$C$157/Assumptions!$C$156-1)),"0%")&amp;" more"</f>
        <v>GPU capacity: inference needs 96% of usable reserved hours by December; research hours are squeezed; on-demand GPUs cost 74% more</v>
      </c>
      <c r="C44" s="44" t="n">
        <v>4</v>
      </c>
      <c r="D44" s="44" t="n">
        <v>3</v>
      </c>
      <c r="E44" s="45" t="n">
        <f aca="false">C44*D44</f>
        <v>12</v>
      </c>
      <c r="F44" s="46" t="s">
        <v>291</v>
      </c>
    </row>
    <row r="45" customFormat="false" ht="43.5" hidden="false" customHeight="true" outlineLevel="0" collapsed="false">
      <c r="B45" s="41" t="str">
        <f aca="false">"Cloud commitment: a 2026 shortfall of USD "&amp;TEXT((Commitments!$C$12)/1000,"#,##0")&amp;"k is provided and payable in January"</f>
        <v>Cloud commitment: a 2026 shortfall of USD 114k is provided and payable in January</v>
      </c>
      <c r="C45" s="44" t="n">
        <v>3</v>
      </c>
      <c r="D45" s="44" t="n">
        <v>2</v>
      </c>
      <c r="E45" s="45" t="n">
        <f aca="false">C45*D45</f>
        <v>6</v>
      </c>
      <c r="F45" s="46" t="s">
        <v>292</v>
      </c>
    </row>
    <row r="46" customFormat="false" ht="43.5" hidden="false" customHeight="true" outlineLevel="0" collapsed="false">
      <c r="B46" s="41" t="str">
        <f aca="false">"Enterprise renewals and unused commitments: EUR "&amp;TEXT((Revenue!$C$13)/1000,"#,##0")&amp;"k of FY2026 revenue comes from commitments not used; Pravenza Retail left for an in-house open-weights model"</f>
        <v>Enterprise renewals and unused commitments: EUR 326k of FY2026 revenue comes from commitments not used; Pravenza Retail left for an in-house open-weights model</v>
      </c>
      <c r="C46" s="44" t="n">
        <v>3</v>
      </c>
      <c r="D46" s="44" t="n">
        <v>3</v>
      </c>
      <c r="E46" s="45" t="n">
        <f aca="false">C46*D46</f>
        <v>9</v>
      </c>
      <c r="F46" s="46" t="s">
        <v>293</v>
      </c>
    </row>
    <row r="47" customFormat="false" ht="30" hidden="false" customHeight="true" outlineLevel="0" collapsed="false">
      <c r="B47" s="41" t="str">
        <f aca="false">"Research tax credit: EUR "&amp;TEXT((PL!$C$43)/1000,"#,##0")&amp;"k a year depends on SME status for the cash refund and on time records that survive a tax audit"</f>
        <v>Research tax credit: EUR 1,138k a year depends on SME status for the cash refund and on time records that survive a tax audit</v>
      </c>
      <c r="C47" s="44" t="n">
        <v>2</v>
      </c>
      <c r="D47" s="44" t="n">
        <v>4</v>
      </c>
      <c r="E47" s="45" t="n">
        <f aca="false">C47*D47</f>
        <v>8</v>
      </c>
      <c r="F47" s="46" t="s">
        <v>294</v>
      </c>
    </row>
    <row r="48" customFormat="false" ht="30" hidden="false" customHeight="true" outlineLevel="0" collapsed="false">
      <c r="B48" s="41" t="str">
        <f aca="false">"Team acquisition and churn: "&amp;TEXT((AVERAGEIFS(Team!$E$9:$AB$9,Assumptions!$E$205:$AB$205,"A")),"0.0")&amp;" new customers a month against "&amp;TEXT(((SUMIFS(Budget_FY26!$E$53:$P$53,Assumptions!$E$204:$P$204,"&lt;="&amp;Assumptions!$C$10)/Assumptions!$C$10)),"0.0")&amp;" budgeted; "&amp;TEXT((AVERAGEIFS(Team!$E$12:$AB$12,Assumptions!$E$205:$AB$205,"A")),"0.0%")&amp;" lost each month"</f>
        <v>Team acquisition and churn: 14.5 new customers a month against 17.6 budgeted; 2.4% lost each month</v>
      </c>
      <c r="C48" s="44" t="n">
        <v>3</v>
      </c>
      <c r="D48" s="44" t="n">
        <v>2</v>
      </c>
      <c r="E48" s="45" t="n">
        <f aca="false">C48*D48</f>
        <v>6</v>
      </c>
      <c r="F48" s="46" t="s">
        <v>295</v>
      </c>
    </row>
    <row r="49" customFormat="false" ht="30" hidden="false" customHeight="true" outlineLevel="0" collapsed="false">
      <c r="B49" s="41" t="str">
        <f aca="false">"Service reliability: the 28 April incident led to the disputed Tervane invoice (EUR "&amp;TEXT((Assumptions!$C$139/1000),"0.0")&amp;"k)"</f>
        <v>Service reliability: the 28 April incident led to the disputed Tervane invoice (EUR 18.1k)</v>
      </c>
      <c r="C49" s="44" t="n">
        <v>2</v>
      </c>
      <c r="D49" s="44" t="n">
        <v>3</v>
      </c>
      <c r="E49" s="45" t="n">
        <f aca="false">C49*D49</f>
        <v>6</v>
      </c>
      <c r="F49" s="46" t="s">
        <v>296</v>
      </c>
    </row>
    <row r="50" customFormat="false" ht="30" hidden="false" customHeight="true" outlineLevel="0" collapsed="false">
      <c r="B50" s="41" t="s">
        <v>297</v>
      </c>
      <c r="C50" s="44" t="n">
        <v>3</v>
      </c>
      <c r="D50" s="44" t="n">
        <v>3</v>
      </c>
      <c r="E50" s="45" t="n">
        <f aca="false">C50*D50</f>
        <v>9</v>
      </c>
      <c r="F50" s="46" t="s">
        <v>298</v>
      </c>
    </row>
    <row r="52" customFormat="false" ht="15" hidden="false" customHeight="false" outlineLevel="0" collapsed="false">
      <c r="B52" s="39" t="s">
        <v>299</v>
      </c>
      <c r="C52" s="40"/>
      <c r="D52" s="40"/>
      <c r="E52" s="40"/>
      <c r="F52" s="40"/>
    </row>
    <row r="53" customFormat="false" ht="15" hidden="false" customHeight="false" outlineLevel="0" collapsed="false">
      <c r="B53" s="42" t="s">
        <v>300</v>
      </c>
      <c r="C53" s="43" t="s">
        <v>301</v>
      </c>
      <c r="D53" s="43" t="s">
        <v>302</v>
      </c>
      <c r="E53" s="43" t="s">
        <v>158</v>
      </c>
      <c r="F53" s="43" t="s">
        <v>303</v>
      </c>
    </row>
    <row r="54" customFormat="false" ht="30" hidden="false" customHeight="true" outlineLevel="0" collapsed="false">
      <c r="B54" s="41" t="s">
        <v>304</v>
      </c>
      <c r="C54" s="46" t="s">
        <v>305</v>
      </c>
      <c r="D54" s="47" t="n">
        <v>46356</v>
      </c>
      <c r="E54" s="44" t="s">
        <v>306</v>
      </c>
      <c r="F54" s="46" t="s">
        <v>307</v>
      </c>
    </row>
    <row r="55" customFormat="false" ht="30" hidden="false" customHeight="true" outlineLevel="0" collapsed="false">
      <c r="B55" s="41" t="s">
        <v>308</v>
      </c>
      <c r="C55" s="46" t="s">
        <v>309</v>
      </c>
      <c r="D55" s="47" t="n">
        <v>46341</v>
      </c>
      <c r="E55" s="44" t="s">
        <v>306</v>
      </c>
      <c r="F55" s="46" t="s">
        <v>310</v>
      </c>
    </row>
    <row r="56" customFormat="false" ht="30" hidden="false" customHeight="true" outlineLevel="0" collapsed="false">
      <c r="B56" s="41" t="s">
        <v>311</v>
      </c>
      <c r="C56" s="46" t="s">
        <v>312</v>
      </c>
      <c r="D56" s="47" t="n">
        <v>46387</v>
      </c>
      <c r="E56" s="44" t="s">
        <v>306</v>
      </c>
      <c r="F56" s="46" t="s">
        <v>313</v>
      </c>
    </row>
    <row r="57" customFormat="false" ht="30" hidden="false" customHeight="true" outlineLevel="0" collapsed="false">
      <c r="B57" s="41" t="s">
        <v>314</v>
      </c>
      <c r="C57" s="46" t="s">
        <v>315</v>
      </c>
      <c r="D57" s="47" t="n">
        <v>46326</v>
      </c>
      <c r="E57" s="44" t="s">
        <v>306</v>
      </c>
      <c r="F57" s="46" t="s">
        <v>316</v>
      </c>
    </row>
    <row r="58" customFormat="false" ht="43.5" hidden="false" customHeight="true" outlineLevel="0" collapsed="false">
      <c r="B58" s="41" t="s">
        <v>317</v>
      </c>
      <c r="C58" s="46" t="s">
        <v>318</v>
      </c>
      <c r="D58" s="47" t="n">
        <v>46326</v>
      </c>
      <c r="E58" s="44" t="s">
        <v>306</v>
      </c>
      <c r="F58" s="46" t="s">
        <v>319</v>
      </c>
    </row>
    <row r="59" customFormat="false" ht="43.5" hidden="false" customHeight="true" outlineLevel="0" collapsed="false">
      <c r="B59" s="41" t="s">
        <v>320</v>
      </c>
      <c r="C59" s="46" t="s">
        <v>321</v>
      </c>
      <c r="D59" s="47" t="n">
        <v>46326</v>
      </c>
      <c r="E59" s="44" t="s">
        <v>322</v>
      </c>
      <c r="F59" s="46" t="s">
        <v>323</v>
      </c>
    </row>
    <row r="60" customFormat="false" ht="30" hidden="false" customHeight="true" outlineLevel="0" collapsed="false">
      <c r="B60" s="41" t="s">
        <v>324</v>
      </c>
      <c r="C60" s="46" t="s">
        <v>325</v>
      </c>
      <c r="D60" s="47" t="n">
        <v>46326</v>
      </c>
      <c r="E60" s="44" t="s">
        <v>306</v>
      </c>
      <c r="F60" s="46" t="s">
        <v>326</v>
      </c>
    </row>
    <row r="61" customFormat="false" ht="16.5" hidden="false" customHeight="true" outlineLevel="0" collapsed="false">
      <c r="B61" s="41" t="s">
        <v>327</v>
      </c>
      <c r="C61" s="46" t="s">
        <v>328</v>
      </c>
      <c r="D61" s="47" t="n">
        <v>46310</v>
      </c>
      <c r="E61" s="44" t="s">
        <v>306</v>
      </c>
      <c r="F61" s="46" t="s">
        <v>329</v>
      </c>
    </row>
    <row r="62" customFormat="false" ht="30" hidden="false" customHeight="true" outlineLevel="0" collapsed="false">
      <c r="B62" s="41" t="s">
        <v>330</v>
      </c>
      <c r="C62" s="46" t="s">
        <v>328</v>
      </c>
      <c r="D62" s="47" t="n">
        <v>46310</v>
      </c>
      <c r="E62" s="44" t="s">
        <v>306</v>
      </c>
      <c r="F62" s="46" t="s">
        <v>331</v>
      </c>
    </row>
    <row r="64" customFormat="false" ht="15" hidden="false" customHeight="false" outlineLevel="0" collapsed="false">
      <c r="B64" s="39" t="s">
        <v>332</v>
      </c>
      <c r="C64" s="40"/>
      <c r="D64" s="40"/>
      <c r="E64" s="40"/>
      <c r="F64" s="40"/>
    </row>
    <row r="65" customFormat="false" ht="30" hidden="false" customHeight="true" outlineLevel="0" collapsed="false">
      <c r="B65" s="41" t="s">
        <v>333</v>
      </c>
    </row>
    <row r="66" customFormat="false" ht="16.5" hidden="false" customHeight="true" outlineLevel="0" collapsed="false">
      <c r="B66" s="41" t="s">
        <v>334</v>
      </c>
    </row>
    <row r="67" customFormat="false" ht="16.5" hidden="false" customHeight="true" outlineLevel="0" collapsed="false">
      <c r="B67" s="41" t="s">
        <v>335</v>
      </c>
    </row>
    <row r="68" customFormat="false" ht="16.5" hidden="false" customHeight="true" outlineLevel="0" collapsed="false">
      <c r="B68" s="41" t="s">
        <v>336</v>
      </c>
    </row>
    <row r="69" customFormat="false" ht="16.5" hidden="false" customHeight="true" outlineLevel="0" collapsed="false">
      <c r="B69" s="41" t="s">
        <v>337</v>
      </c>
    </row>
    <row r="70" customFormat="false" ht="16.5" hidden="false" customHeight="true" outlineLevel="0" collapsed="false">
      <c r="B70" s="41" t="s">
        <v>338</v>
      </c>
    </row>
    <row r="72" customFormat="false" ht="16.5" hidden="false" customHeight="true" outlineLevel="0" collapsed="false">
      <c r="B72" s="48" t="str">
        <f aca="false">"Prepared by BriQs Group for the board of "&amp;Assumptions!$C$6&amp;". Model status at the time of preparation: "&amp;Checks!E67&amp;"."</f>
        <v>Prepared by BriQs Group for the board of Serennix AI SAS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339</v>
      </c>
    </row>
    <row r="3" customFormat="false" ht="15" hidden="false" customHeight="false" outlineLevel="0" collapsed="false">
      <c r="A3" s="49" t="s">
        <v>340</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349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58" t="s">
        <v>44</v>
      </c>
      <c r="B9" s="59" t="s">
        <v>30</v>
      </c>
      <c r="C9" s="60" t="n">
        <f aca="false">SUM(E9:P9)</f>
        <v>6615228.14489467</v>
      </c>
      <c r="D9" s="60" t="n">
        <f aca="false">SUM(Q9:AB9)</f>
        <v>8683872.00089744</v>
      </c>
      <c r="E9" s="61" t="n">
        <f aca="false">PL!E15</f>
        <v>496459.665909091</v>
      </c>
      <c r="F9" s="61" t="n">
        <f aca="false">PL!F15</f>
        <v>474887.208636364</v>
      </c>
      <c r="G9" s="61" t="n">
        <f aca="false">PL!G15</f>
        <v>513179.913636364</v>
      </c>
      <c r="H9" s="61" t="n">
        <f aca="false">PL!H15</f>
        <v>488970.007272727</v>
      </c>
      <c r="I9" s="61" t="n">
        <f aca="false">PL!I15</f>
        <v>523579.009090909</v>
      </c>
      <c r="J9" s="61" t="n">
        <f aca="false">PL!J15</f>
        <v>568226.285909091</v>
      </c>
      <c r="K9" s="61" t="n">
        <f aca="false">PL!K15</f>
        <v>566906.225909091</v>
      </c>
      <c r="L9" s="61" t="n">
        <f aca="false">PL!L15</f>
        <v>574144.092727273</v>
      </c>
      <c r="M9" s="61" t="n">
        <f aca="false">PL!M15</f>
        <v>661779.611575908</v>
      </c>
      <c r="N9" s="61" t="n">
        <f aca="false">PL!N15</f>
        <v>563506.60055748</v>
      </c>
      <c r="O9" s="61" t="n">
        <f aca="false">PL!O15</f>
        <v>585672.333198978</v>
      </c>
      <c r="P9" s="61" t="n">
        <f aca="false">PL!P15</f>
        <v>597917.190471396</v>
      </c>
      <c r="Q9" s="61" t="n">
        <f aca="false">PL!Q15</f>
        <v>641074.675912336</v>
      </c>
      <c r="R9" s="61" t="n">
        <f aca="false">PL!R15</f>
        <v>633115.340802301</v>
      </c>
      <c r="S9" s="61" t="n">
        <f aca="false">PL!S15</f>
        <v>757581.95800571</v>
      </c>
      <c r="T9" s="61" t="n">
        <f aca="false">PL!T15</f>
        <v>659160.643120203</v>
      </c>
      <c r="U9" s="61" t="n">
        <f aca="false">PL!U15</f>
        <v>681634.132861944</v>
      </c>
      <c r="V9" s="61" t="n">
        <f aca="false">PL!V15</f>
        <v>804015.768880625</v>
      </c>
      <c r="W9" s="61" t="n">
        <f aca="false">PL!W15</f>
        <v>693553.307698635</v>
      </c>
      <c r="X9" s="61" t="n">
        <f aca="false">PL!X15</f>
        <v>710548.889431038</v>
      </c>
      <c r="Y9" s="61" t="n">
        <f aca="false">PL!Y15</f>
        <v>768417.607374337</v>
      </c>
      <c r="Z9" s="61" t="n">
        <f aca="false">PL!Z15</f>
        <v>796036.464895734</v>
      </c>
      <c r="AA9" s="61" t="n">
        <f aca="false">PL!AA15</f>
        <v>783106.523039435</v>
      </c>
      <c r="AB9" s="61" t="n">
        <f aca="false">PL!AB15</f>
        <v>755626.688875146</v>
      </c>
    </row>
    <row r="10" customFormat="false" ht="15" hidden="false" customHeight="false" outlineLevel="0" collapsed="false">
      <c r="A10" s="28" t="s">
        <v>350</v>
      </c>
      <c r="B10" s="62" t="s">
        <v>44</v>
      </c>
      <c r="E10" s="63" t="n">
        <f aca="false">Revenue!E18</f>
        <v>0.506414436018431</v>
      </c>
      <c r="F10" s="63" t="n">
        <f aca="false">Revenue!F18</f>
        <v>0.489527634936407</v>
      </c>
      <c r="G10" s="63" t="n">
        <f aca="false">Revenue!G18</f>
        <v>0.467095755520031</v>
      </c>
      <c r="H10" s="63" t="n">
        <f aca="false">Revenue!H18</f>
        <v>0.453728484160902</v>
      </c>
      <c r="I10" s="63" t="n">
        <f aca="false">Revenue!I18</f>
        <v>0.466445121947276</v>
      </c>
      <c r="J10" s="63" t="n">
        <f aca="false">Revenue!J18</f>
        <v>0.333171178015497</v>
      </c>
      <c r="K10" s="63" t="n">
        <f aca="false">Revenue!K18</f>
        <v>0.505296468877444</v>
      </c>
      <c r="L10" s="63" t="n">
        <f aca="false">Revenue!L18</f>
        <v>0.352704029877344</v>
      </c>
      <c r="M10" s="63" t="n">
        <f aca="false">Revenue!M18</f>
        <v>0.361300545678457</v>
      </c>
      <c r="N10" s="63" t="n">
        <f aca="false">Revenue!N18</f>
        <v>0.215714608001203</v>
      </c>
      <c r="O10" s="63" t="n">
        <f aca="false">Revenue!O18</f>
        <v>0.351167962354175</v>
      </c>
      <c r="P10" s="63" t="n">
        <f aca="false">Revenue!P18</f>
        <v>0.347930216670556</v>
      </c>
      <c r="Q10" s="63" t="n">
        <f aca="false">Revenue!Q18</f>
        <v>0.291292566010239</v>
      </c>
      <c r="R10" s="63" t="n">
        <f aca="false">Revenue!R18</f>
        <v>0.333190975221861</v>
      </c>
      <c r="S10" s="63" t="n">
        <f aca="false">Revenue!S18</f>
        <v>0.476250215324148</v>
      </c>
      <c r="T10" s="63" t="n">
        <f aca="false">Revenue!T18</f>
        <v>0.348059458281969</v>
      </c>
      <c r="U10" s="63" t="n">
        <f aca="false">Revenue!U18</f>
        <v>0.301874446887139</v>
      </c>
      <c r="V10" s="63" t="n">
        <f aca="false">Revenue!V18</f>
        <v>0.414957014166109</v>
      </c>
      <c r="W10" s="63" t="n">
        <f aca="false">Revenue!W18</f>
        <v>0.223400407336244</v>
      </c>
      <c r="X10" s="63" t="n">
        <f aca="false">Revenue!X18</f>
        <v>0.237579378472435</v>
      </c>
      <c r="Y10" s="63" t="n">
        <f aca="false">Revenue!Y18</f>
        <v>0.161138230814469</v>
      </c>
      <c r="Z10" s="63" t="n">
        <f aca="false">Revenue!Z18</f>
        <v>0.412647986923685</v>
      </c>
      <c r="AA10" s="63" t="n">
        <f aca="false">Revenue!AA18</f>
        <v>0.337106908844505</v>
      </c>
      <c r="AB10" s="63" t="n">
        <f aca="false">Revenue!AB18</f>
        <v>0.263764783680851</v>
      </c>
    </row>
    <row r="11" customFormat="false" ht="15" hidden="false" customHeight="false" outlineLevel="0" collapsed="false">
      <c r="A11" s="28" t="s">
        <v>351</v>
      </c>
      <c r="B11" s="62" t="s">
        <v>30</v>
      </c>
      <c r="C11" s="64" t="n">
        <f aca="false">SUM(E11:P11)</f>
        <v>1053571.21815162</v>
      </c>
      <c r="D11" s="64" t="n">
        <f aca="false">SUM(Q11:AB11)</f>
        <v>1531023.42874785</v>
      </c>
      <c r="E11" s="65" t="n">
        <f aca="false">PL!E57</f>
        <v>75510.7959090909</v>
      </c>
      <c r="F11" s="65" t="n">
        <f aca="false">PL!F57</f>
        <v>81962.1586363636</v>
      </c>
      <c r="G11" s="65" t="n">
        <f aca="false">PL!G57</f>
        <v>82243.0836363636</v>
      </c>
      <c r="H11" s="65" t="n">
        <f aca="false">PL!H57</f>
        <v>84029.0972727273</v>
      </c>
      <c r="I11" s="65" t="n">
        <f aca="false">PL!I57</f>
        <v>82221.3490909091</v>
      </c>
      <c r="J11" s="65" t="n">
        <f aca="false">PL!J57</f>
        <v>85687.5559090909</v>
      </c>
      <c r="K11" s="65" t="n">
        <f aca="false">PL!K57</f>
        <v>88344.3359090909</v>
      </c>
      <c r="L11" s="65" t="n">
        <f aca="false">PL!L57</f>
        <v>86409.2727272727</v>
      </c>
      <c r="M11" s="65" t="n">
        <f aca="false">PL!M57</f>
        <v>91113.780431591</v>
      </c>
      <c r="N11" s="65" t="n">
        <f aca="false">PL!N57</f>
        <v>95687.1100549517</v>
      </c>
      <c r="O11" s="65" t="n">
        <f aca="false">PL!O57</f>
        <v>101214.182875414</v>
      </c>
      <c r="P11" s="65" t="n">
        <f aca="false">PL!P57</f>
        <v>99148.4956987587</v>
      </c>
      <c r="Q11" s="65" t="n">
        <f aca="false">PL!Q57</f>
        <v>111475.371006654</v>
      </c>
      <c r="R11" s="65" t="n">
        <f aca="false">PL!R57</f>
        <v>111811.665017257</v>
      </c>
      <c r="S11" s="65" t="n">
        <f aca="false">PL!S57</f>
        <v>117330.793714634</v>
      </c>
      <c r="T11" s="65" t="n">
        <f aca="false">PL!T57</f>
        <v>119396.058284809</v>
      </c>
      <c r="U11" s="65" t="n">
        <f aca="false">PL!U57</f>
        <v>126101.330458553</v>
      </c>
      <c r="V11" s="65" t="n">
        <f aca="false">PL!V57</f>
        <v>122409.437122515</v>
      </c>
      <c r="W11" s="65" t="n">
        <f aca="false">PL!W57</f>
        <v>127598.900460813</v>
      </c>
      <c r="X11" s="65" t="n">
        <f aca="false">PL!X57</f>
        <v>126499.417589698</v>
      </c>
      <c r="Y11" s="65" t="n">
        <f aca="false">PL!Y57</f>
        <v>133364.497013951</v>
      </c>
      <c r="Z11" s="65" t="n">
        <f aca="false">PL!Z57</f>
        <v>140332.714763713</v>
      </c>
      <c r="AA11" s="65" t="n">
        <f aca="false">PL!AA57</f>
        <v>145640.002187864</v>
      </c>
      <c r="AB11" s="65" t="n">
        <f aca="false">PL!AB57</f>
        <v>149063.24112739</v>
      </c>
    </row>
    <row r="12" customFormat="false" ht="15" hidden="false" customHeight="false" outlineLevel="0" collapsed="false">
      <c r="A12" s="28" t="s">
        <v>352</v>
      </c>
      <c r="B12" s="62" t="s">
        <v>30</v>
      </c>
      <c r="C12" s="64" t="n">
        <f aca="false">SUM(E12:P12)</f>
        <v>2433455.80952251</v>
      </c>
      <c r="D12" s="64" t="n">
        <f aca="false">SUM(Q12:AB12)</f>
        <v>2877021.22658795</v>
      </c>
      <c r="E12" s="65" t="n">
        <f aca="false">PL!E58</f>
        <v>181624.59</v>
      </c>
      <c r="F12" s="65" t="n">
        <f aca="false">PL!F58</f>
        <v>183869.59</v>
      </c>
      <c r="G12" s="65" t="n">
        <f aca="false">PL!G58</f>
        <v>190998.21</v>
      </c>
      <c r="H12" s="65" t="n">
        <f aca="false">PL!H58</f>
        <v>193712.39</v>
      </c>
      <c r="I12" s="65" t="n">
        <f aca="false">PL!I58</f>
        <v>201515.91</v>
      </c>
      <c r="J12" s="65" t="n">
        <f aca="false">PL!J58</f>
        <v>208438.7</v>
      </c>
      <c r="K12" s="65" t="n">
        <f aca="false">PL!K58</f>
        <v>208095.44</v>
      </c>
      <c r="L12" s="65" t="n">
        <f aca="false">PL!L58</f>
        <v>208487.64</v>
      </c>
      <c r="M12" s="65" t="n">
        <f aca="false">PL!M58</f>
        <v>208362.400391317</v>
      </c>
      <c r="N12" s="65" t="n">
        <f aca="false">PL!N58</f>
        <v>212611.158638154</v>
      </c>
      <c r="O12" s="65" t="n">
        <f aca="false">PL!O58</f>
        <v>216381.179459176</v>
      </c>
      <c r="P12" s="65" t="n">
        <f aca="false">PL!P58</f>
        <v>219358.601033861</v>
      </c>
      <c r="Q12" s="65" t="n">
        <f aca="false">PL!Q58</f>
        <v>223418.077627166</v>
      </c>
      <c r="R12" s="65" t="n">
        <f aca="false">PL!R58</f>
        <v>227000.67508792</v>
      </c>
      <c r="S12" s="65" t="n">
        <f aca="false">PL!S58</f>
        <v>230764.887229039</v>
      </c>
      <c r="T12" s="65" t="n">
        <f aca="false">PL!T58</f>
        <v>233812.780469032</v>
      </c>
      <c r="U12" s="65" t="n">
        <f aca="false">PL!U58</f>
        <v>236646.703972445</v>
      </c>
      <c r="V12" s="65" t="n">
        <f aca="false">PL!V58</f>
        <v>239597.490649964</v>
      </c>
      <c r="W12" s="65" t="n">
        <f aca="false">PL!W58</f>
        <v>241517.389934856</v>
      </c>
      <c r="X12" s="65" t="n">
        <f aca="false">PL!X58</f>
        <v>242097.191670149</v>
      </c>
      <c r="Y12" s="65" t="n">
        <f aca="false">PL!Y58</f>
        <v>245634.312842516</v>
      </c>
      <c r="Z12" s="65" t="n">
        <f aca="false">PL!Z58</f>
        <v>249275.875657279</v>
      </c>
      <c r="AA12" s="65" t="n">
        <f aca="false">PL!AA58</f>
        <v>252442.744695001</v>
      </c>
      <c r="AB12" s="65" t="n">
        <f aca="false">PL!AB58</f>
        <v>254813.096752584</v>
      </c>
    </row>
    <row r="13" customFormat="false" ht="15" hidden="false" customHeight="false" outlineLevel="0" collapsed="false">
      <c r="A13" s="28" t="s">
        <v>353</v>
      </c>
      <c r="B13" s="62" t="s">
        <v>30</v>
      </c>
      <c r="C13" s="64" t="n">
        <f aca="false">SUM(E13:P13)</f>
        <v>3128201.11722054</v>
      </c>
      <c r="D13" s="64" t="n">
        <f aca="false">SUM(Q13:AB13)</f>
        <v>4275827.34556164</v>
      </c>
      <c r="E13" s="65" t="n">
        <f aca="false">PL!E59</f>
        <v>239324.28</v>
      </c>
      <c r="F13" s="65" t="n">
        <f aca="false">PL!F59</f>
        <v>209055.46</v>
      </c>
      <c r="G13" s="65" t="n">
        <f aca="false">PL!G59</f>
        <v>239938.62</v>
      </c>
      <c r="H13" s="65" t="n">
        <f aca="false">PL!H59</f>
        <v>211228.52</v>
      </c>
      <c r="I13" s="65" t="n">
        <f aca="false">PL!I59</f>
        <v>239841.75</v>
      </c>
      <c r="J13" s="65" t="n">
        <f aca="false">PL!J59</f>
        <v>274100.03</v>
      </c>
      <c r="K13" s="65" t="n">
        <f aca="false">PL!K59</f>
        <v>270466.45</v>
      </c>
      <c r="L13" s="65" t="n">
        <f aca="false">PL!L59</f>
        <v>279247.18</v>
      </c>
      <c r="M13" s="65" t="n">
        <f aca="false">PL!M59</f>
        <v>362303.430753</v>
      </c>
      <c r="N13" s="65" t="n">
        <f aca="false">PL!N59</f>
        <v>255208.331864375</v>
      </c>
      <c r="O13" s="65" t="n">
        <f aca="false">PL!O59</f>
        <v>268076.970864388</v>
      </c>
      <c r="P13" s="65" t="n">
        <f aca="false">PL!P59</f>
        <v>279410.093738776</v>
      </c>
      <c r="Q13" s="65" t="n">
        <f aca="false">PL!Q59</f>
        <v>306181.227278516</v>
      </c>
      <c r="R13" s="65" t="n">
        <f aca="false">PL!R59</f>
        <v>294303.000697124</v>
      </c>
      <c r="S13" s="65" t="n">
        <f aca="false">PL!S59</f>
        <v>409486.277062036</v>
      </c>
      <c r="T13" s="65" t="n">
        <f aca="false">PL!T59</f>
        <v>305951.804366362</v>
      </c>
      <c r="U13" s="65" t="n">
        <f aca="false">PL!U59</f>
        <v>318886.098430946</v>
      </c>
      <c r="V13" s="65" t="n">
        <f aca="false">PL!V59</f>
        <v>442008.841108146</v>
      </c>
      <c r="W13" s="65" t="n">
        <f aca="false">PL!W59</f>
        <v>324437.017302965</v>
      </c>
      <c r="X13" s="65" t="n">
        <f aca="false">PL!X59</f>
        <v>341952.280171191</v>
      </c>
      <c r="Y13" s="65" t="n">
        <f aca="false">PL!Y59</f>
        <v>389418.79751787</v>
      </c>
      <c r="Z13" s="65" t="n">
        <f aca="false">PL!Z59</f>
        <v>406427.874474742</v>
      </c>
      <c r="AA13" s="65" t="n">
        <f aca="false">PL!AA59</f>
        <v>385023.776156571</v>
      </c>
      <c r="AB13" s="65" t="n">
        <f aca="false">PL!AB59</f>
        <v>351750.350995172</v>
      </c>
    </row>
    <row r="14" customFormat="false" ht="15" hidden="false" customHeight="false" outlineLevel="0" collapsed="false">
      <c r="A14" s="28" t="s">
        <v>354</v>
      </c>
      <c r="B14" s="62" t="s">
        <v>44</v>
      </c>
      <c r="C14" s="66" t="n">
        <f aca="false">Revenue!C36</f>
        <v>0.239496274827291</v>
      </c>
      <c r="D14" s="66" t="n">
        <f aca="false">Revenue!D36</f>
        <v>0.278457804799371</v>
      </c>
      <c r="E14" s="63" t="n">
        <f aca="false">Revenue!E36</f>
        <v>0.230432225948521</v>
      </c>
      <c r="F14" s="63" t="n">
        <f aca="false">Revenue!F36</f>
        <v>0.258508834105841</v>
      </c>
      <c r="G14" s="63" t="n">
        <f aca="false">Revenue!G36</f>
        <v>0.223711315633669</v>
      </c>
      <c r="H14" s="63" t="n">
        <f aca="false">Revenue!H36</f>
        <v>0.239544032416281</v>
      </c>
      <c r="I14" s="63" t="n">
        <f aca="false">Revenue!I36</f>
        <v>0.256539713698849</v>
      </c>
      <c r="J14" s="63" t="n">
        <f aca="false">Revenue!J36</f>
        <v>0.22264587022173</v>
      </c>
      <c r="K14" s="63" t="n">
        <f aca="false">Revenue!K36</f>
        <v>0.228389687732683</v>
      </c>
      <c r="L14" s="63" t="n">
        <f aca="false">Revenue!L36</f>
        <v>0.224474438315771</v>
      </c>
      <c r="M14" s="63" t="n">
        <f aca="false">Revenue!M36</f>
        <v>0.196554643005335</v>
      </c>
      <c r="N14" s="63" t="n">
        <f aca="false">Revenue!N36</f>
        <v>0.252218776293577</v>
      </c>
      <c r="O14" s="63" t="n">
        <f aca="false">Revenue!O36</f>
        <v>0.250633078474063</v>
      </c>
      <c r="P14" s="63" t="n">
        <f aca="false">Revenue!P36</f>
        <v>0.296104111390761</v>
      </c>
      <c r="Q14" s="63" t="n">
        <f aca="false">Revenue!Q36</f>
        <v>0.315421099229193</v>
      </c>
      <c r="R14" s="63" t="n">
        <f aca="false">Revenue!R36</f>
        <v>0.276052532849719</v>
      </c>
      <c r="S14" s="63" t="n">
        <f aca="false">Revenue!S36</f>
        <v>0.298251216590495</v>
      </c>
      <c r="T14" s="63" t="n">
        <f aca="false">Revenue!T36</f>
        <v>0.331497305779122</v>
      </c>
      <c r="U14" s="63" t="n">
        <f aca="false">Revenue!U36</f>
        <v>0.342770908715128</v>
      </c>
      <c r="V14" s="63" t="n">
        <f aca="false">Revenue!V36</f>
        <v>0.207971318970246</v>
      </c>
      <c r="W14" s="63" t="n">
        <f aca="false">Revenue!W36</f>
        <v>0.255370430913152</v>
      </c>
      <c r="X14" s="63" t="n">
        <f aca="false">Revenue!X36</f>
        <v>0.241742161189932</v>
      </c>
      <c r="Y14" s="63" t="n">
        <f aca="false">Revenue!Y36</f>
        <v>0.236198827938057</v>
      </c>
      <c r="Z14" s="63" t="n">
        <f aca="false">Revenue!Z36</f>
        <v>0.25568291496635</v>
      </c>
      <c r="AA14" s="63" t="n">
        <f aca="false">Revenue!AA36</f>
        <v>0.286108586520038</v>
      </c>
      <c r="AB14" s="63" t="n">
        <f aca="false">Revenue!AB36</f>
        <v>0.314739649982075</v>
      </c>
    </row>
    <row r="15" customFormat="false" ht="15" hidden="false" customHeight="false" outlineLevel="0" collapsed="false">
      <c r="A15" s="28" t="s">
        <v>355</v>
      </c>
      <c r="B15" s="62" t="s">
        <v>51</v>
      </c>
      <c r="C15" s="66" t="n">
        <f aca="false">P15</f>
        <v>1.18345507105218</v>
      </c>
      <c r="D15" s="66" t="n">
        <f aca="false">AB15</f>
        <v>1.17262202567779</v>
      </c>
      <c r="E15" s="63" t="n">
        <f aca="false">Enterprise!E220</f>
        <v>1.15057223706399</v>
      </c>
      <c r="F15" s="63" t="n">
        <f aca="false">Enterprise!F220</f>
        <v>1.21987048863644</v>
      </c>
      <c r="G15" s="63" t="n">
        <f aca="false">Enterprise!G220</f>
        <v>1.09499115140934</v>
      </c>
      <c r="H15" s="63" t="n">
        <f aca="false">Enterprise!H220</f>
        <v>1.15494189162882</v>
      </c>
      <c r="I15" s="63" t="n">
        <f aca="false">Enterprise!I220</f>
        <v>1.11829514994654</v>
      </c>
      <c r="J15" s="63" t="n">
        <f aca="false">Enterprise!J220</f>
        <v>1.1166679426632</v>
      </c>
      <c r="K15" s="63" t="n">
        <f aca="false">Enterprise!K220</f>
        <v>1.17947256427308</v>
      </c>
      <c r="L15" s="63" t="n">
        <f aca="false">Enterprise!L220</f>
        <v>1.16772949666294</v>
      </c>
      <c r="M15" s="63" t="n">
        <f aca="false">Enterprise!M220</f>
        <v>1.16830421619071</v>
      </c>
      <c r="N15" s="63" t="n">
        <f aca="false">Enterprise!N220</f>
        <v>1.16053988967478</v>
      </c>
      <c r="O15" s="63" t="n">
        <f aca="false">Enterprise!O220</f>
        <v>1.17619901910022</v>
      </c>
      <c r="P15" s="63" t="n">
        <f aca="false">Enterprise!P220</f>
        <v>1.18345507105218</v>
      </c>
      <c r="Q15" s="63" t="n">
        <f aca="false">Enterprise!Q220</f>
        <v>1.16826035996708</v>
      </c>
      <c r="R15" s="63" t="n">
        <f aca="false">Enterprise!R220</f>
        <v>1.1294192736329</v>
      </c>
      <c r="S15" s="63" t="n">
        <f aca="false">Enterprise!S220</f>
        <v>1.22364373007325</v>
      </c>
      <c r="T15" s="63" t="n">
        <f aca="false">Enterprise!T220</f>
        <v>1.20960664966122</v>
      </c>
      <c r="U15" s="63" t="n">
        <f aca="false">Enterprise!U220</f>
        <v>1.22106542787384</v>
      </c>
      <c r="V15" s="63" t="n">
        <f aca="false">Enterprise!V220</f>
        <v>1.17792320300446</v>
      </c>
      <c r="W15" s="63" t="n">
        <f aca="false">Enterprise!W220</f>
        <v>1.14760617563192</v>
      </c>
      <c r="X15" s="63" t="n">
        <f aca="false">Enterprise!X220</f>
        <v>1.1634874762208</v>
      </c>
      <c r="Y15" s="63" t="n">
        <f aca="false">Enterprise!Y220</f>
        <v>1.16291037519777</v>
      </c>
      <c r="Z15" s="63" t="n">
        <f aca="false">Enterprise!Z220</f>
        <v>1.16244471870473</v>
      </c>
      <c r="AA15" s="63" t="n">
        <f aca="false">Enterprise!AA220</f>
        <v>1.1694202414304</v>
      </c>
      <c r="AB15" s="63" t="n">
        <f aca="false">Enterprise!AB220</f>
        <v>1.17262202567779</v>
      </c>
    </row>
    <row r="16" customFormat="false" ht="15" hidden="false" customHeight="false" outlineLevel="0" collapsed="false">
      <c r="A16" s="28" t="s">
        <v>356</v>
      </c>
      <c r="B16" s="62" t="s">
        <v>49</v>
      </c>
      <c r="C16" s="67" t="n">
        <f aca="false">P16</f>
        <v>404.959594755072</v>
      </c>
      <c r="D16" s="67" t="n">
        <f aca="false">AB16</f>
        <v>459.267922234847</v>
      </c>
      <c r="E16" s="68" t="n">
        <f aca="false">Team!E11</f>
        <v>343</v>
      </c>
      <c r="F16" s="68" t="n">
        <f aca="false">Team!F11</f>
        <v>349</v>
      </c>
      <c r="G16" s="68" t="n">
        <f aca="false">Team!G11</f>
        <v>365</v>
      </c>
      <c r="H16" s="68" t="n">
        <f aca="false">Team!H11</f>
        <v>369</v>
      </c>
      <c r="I16" s="68" t="n">
        <f aca="false">Team!I11</f>
        <v>379</v>
      </c>
      <c r="J16" s="68" t="n">
        <f aca="false">Team!J11</f>
        <v>384</v>
      </c>
      <c r="K16" s="68" t="n">
        <f aca="false">Team!K11</f>
        <v>381</v>
      </c>
      <c r="L16" s="68" t="n">
        <f aca="false">Team!L11</f>
        <v>380</v>
      </c>
      <c r="M16" s="68" t="n">
        <f aca="false">Team!M11</f>
        <v>386.972</v>
      </c>
      <c r="N16" s="68" t="n">
        <f aca="false">Team!N11</f>
        <v>394.074672</v>
      </c>
      <c r="O16" s="68" t="n">
        <f aca="false">Team!O11</f>
        <v>400.261879872</v>
      </c>
      <c r="P16" s="68" t="n">
        <f aca="false">Team!P11</f>
        <v>404.959594755072</v>
      </c>
      <c r="Q16" s="68" t="n">
        <f aca="false">Team!Q11</f>
        <v>411.63056448095</v>
      </c>
      <c r="R16" s="68" t="n">
        <f aca="false">Team!R11</f>
        <v>417.396430933407</v>
      </c>
      <c r="S16" s="68" t="n">
        <f aca="false">Team!S11</f>
        <v>423.470916591006</v>
      </c>
      <c r="T16" s="68" t="n">
        <f aca="false">Team!T11</f>
        <v>428.207614592821</v>
      </c>
      <c r="U16" s="68" t="n">
        <f aca="false">Team!U11</f>
        <v>432.532631842594</v>
      </c>
      <c r="V16" s="68" t="n">
        <f aca="false">Team!V11</f>
        <v>437.051848678371</v>
      </c>
      <c r="W16" s="68" t="n">
        <f aca="false">Team!W11</f>
        <v>439.674604310091</v>
      </c>
      <c r="X16" s="68" t="n">
        <f aca="false">Team!X11</f>
        <v>439.850413806648</v>
      </c>
      <c r="Y16" s="68" t="n">
        <f aca="false">Team!Y11</f>
        <v>445.386003875289</v>
      </c>
      <c r="Z16" s="68" t="n">
        <f aca="false">Team!Z11</f>
        <v>451.086739782282</v>
      </c>
      <c r="AA16" s="68" t="n">
        <f aca="false">Team!AA11</f>
        <v>455.905658027507</v>
      </c>
      <c r="AB16" s="68" t="n">
        <f aca="false">Team!AB11</f>
        <v>459.267922234847</v>
      </c>
    </row>
    <row r="17" customFormat="false" ht="15" hidden="false" customHeight="false" outlineLevel="0" collapsed="false">
      <c r="A17" s="28" t="s">
        <v>357</v>
      </c>
      <c r="B17" s="62" t="s">
        <v>46</v>
      </c>
      <c r="C17" s="64" t="n">
        <f aca="false">SUM(E17:P17)</f>
        <v>1151499.73641013</v>
      </c>
      <c r="D17" s="64" t="n">
        <f aca="false">SUM(Q17:AB17)</f>
        <v>1659145.9475845</v>
      </c>
      <c r="E17" s="65" t="n">
        <f aca="false">Credits!E9</f>
        <v>77172.26</v>
      </c>
      <c r="F17" s="65" t="n">
        <f aca="false">Credits!F9</f>
        <v>90498.36</v>
      </c>
      <c r="G17" s="65" t="n">
        <f aca="false">Credits!G9</f>
        <v>92890.7</v>
      </c>
      <c r="H17" s="65" t="n">
        <f aca="false">Credits!H9</f>
        <v>85657.9</v>
      </c>
      <c r="I17" s="65" t="n">
        <f aca="false">Credits!I9</f>
        <v>88939.25</v>
      </c>
      <c r="J17" s="65" t="n">
        <f aca="false">Credits!J9</f>
        <v>89823.78</v>
      </c>
      <c r="K17" s="65" t="n">
        <f aca="false">Credits!K9</f>
        <v>93824.48</v>
      </c>
      <c r="L17" s="65" t="n">
        <f aca="false">Credits!L9</f>
        <v>87250.27</v>
      </c>
      <c r="M17" s="65" t="n">
        <f aca="false">Credits!M9</f>
        <v>108227.821713334</v>
      </c>
      <c r="N17" s="65" t="n">
        <f aca="false">Credits!N9</f>
        <v>112502.094271861</v>
      </c>
      <c r="O17" s="65" t="n">
        <f aca="false">Credits!O9</f>
        <v>113212.9582788</v>
      </c>
      <c r="P17" s="65" t="n">
        <f aca="false">Credits!P9</f>
        <v>111499.862146135</v>
      </c>
      <c r="Q17" s="65" t="n">
        <f aca="false">Credits!Q9</f>
        <v>122934.075967408</v>
      </c>
      <c r="R17" s="65" t="n">
        <f aca="false">Credits!R9</f>
        <v>123710.856261118</v>
      </c>
      <c r="S17" s="65" t="n">
        <f aca="false">Credits!S9</f>
        <v>129229.679065137</v>
      </c>
      <c r="T17" s="65" t="n">
        <f aca="false">Credits!T9</f>
        <v>128081.856159021</v>
      </c>
      <c r="U17" s="65" t="n">
        <f aca="false">Credits!U9</f>
        <v>130598.405711359</v>
      </c>
      <c r="V17" s="65" t="n">
        <f aca="false">Credits!V9</f>
        <v>135882.041199105</v>
      </c>
      <c r="W17" s="65" t="n">
        <f aca="false">Credits!W9</f>
        <v>131292.713108555</v>
      </c>
      <c r="X17" s="65" t="n">
        <f aca="false">Credits!X9</f>
        <v>122321.489209505</v>
      </c>
      <c r="Y17" s="65" t="n">
        <f aca="false">Credits!Y9</f>
        <v>154306.995067433</v>
      </c>
      <c r="Z17" s="65" t="n">
        <f aca="false">Credits!Z9</f>
        <v>160401.085701101</v>
      </c>
      <c r="AA17" s="65" t="n">
        <f aca="false">Credits!AA9</f>
        <v>161414.607798061</v>
      </c>
      <c r="AB17" s="65" t="n">
        <f aca="false">Credits!AB9</f>
        <v>158972.1423367</v>
      </c>
    </row>
    <row r="18" customFormat="false" ht="15" hidden="false" customHeight="false" outlineLevel="0" collapsed="false">
      <c r="A18" s="28" t="s">
        <v>358</v>
      </c>
      <c r="B18" s="62" t="s">
        <v>46</v>
      </c>
      <c r="C18" s="64" t="n">
        <f aca="false">SUM(E18:P18)</f>
        <v>114167.120968195</v>
      </c>
      <c r="D18" s="64" t="n">
        <f aca="false">SUM(Q18:AB18)</f>
        <v>185667.412849742</v>
      </c>
      <c r="E18" s="65" t="n">
        <f aca="false">Credits!E52</f>
        <v>8739.29590909091</v>
      </c>
      <c r="F18" s="65" t="n">
        <f aca="false">Credits!F52</f>
        <v>11852.7686363636</v>
      </c>
      <c r="G18" s="65" t="n">
        <f aca="false">Credits!G52</f>
        <v>9229.99363636364</v>
      </c>
      <c r="H18" s="65" t="n">
        <f aca="false">Credits!H52</f>
        <v>10226.8572727273</v>
      </c>
      <c r="I18" s="65" t="n">
        <f aca="false">Credits!I52</f>
        <v>8527.24909090909</v>
      </c>
      <c r="J18" s="65" t="n">
        <f aca="false">Credits!J52</f>
        <v>9335.89590909091</v>
      </c>
      <c r="K18" s="65" t="n">
        <f aca="false">Credits!K52</f>
        <v>10244.6459090909</v>
      </c>
      <c r="L18" s="65" t="n">
        <f aca="false">Credits!L52</f>
        <v>8177.33272727273</v>
      </c>
      <c r="M18" s="65" t="n">
        <f aca="false">Credits!M52</f>
        <v>9251.06285179091</v>
      </c>
      <c r="N18" s="65" t="n">
        <f aca="false">Credits!N52</f>
        <v>9477.5878065942</v>
      </c>
      <c r="O18" s="65" t="n">
        <f aca="false">Credits!O52</f>
        <v>11663.5893950497</v>
      </c>
      <c r="P18" s="65" t="n">
        <f aca="false">Credits!P52</f>
        <v>7440.84182385104</v>
      </c>
      <c r="Q18" s="65" t="n">
        <f aca="false">Credits!Q52</f>
        <v>15667.5712207985</v>
      </c>
      <c r="R18" s="65" t="n">
        <f aca="false">Credits!R52</f>
        <v>12733.9334020708</v>
      </c>
      <c r="S18" s="65" t="n">
        <f aca="false">Credits!S52</f>
        <v>14677.8057457561</v>
      </c>
      <c r="T18" s="65" t="n">
        <f aca="false">Credits!T52</f>
        <v>14102.2409941771</v>
      </c>
      <c r="U18" s="65" t="n">
        <f aca="false">Credits!U52</f>
        <v>18324.4471550263</v>
      </c>
      <c r="V18" s="65" t="n">
        <f aca="false">Credits!V52</f>
        <v>11574.3124547018</v>
      </c>
      <c r="W18" s="65" t="n">
        <f aca="false">Credits!W52</f>
        <v>15367.2404552976</v>
      </c>
      <c r="X18" s="65" t="n">
        <f aca="false">Credits!X52</f>
        <v>15011.8068107638</v>
      </c>
      <c r="Y18" s="65" t="n">
        <f aca="false">Credits!Y52</f>
        <v>16003.7396416741</v>
      </c>
      <c r="Z18" s="65" t="n">
        <f aca="false">Credits!Z52</f>
        <v>16839.9257716456</v>
      </c>
      <c r="AA18" s="65" t="n">
        <f aca="false">Credits!AA52</f>
        <v>17476.8002625436</v>
      </c>
      <c r="AB18" s="65" t="n">
        <f aca="false">Credits!AB52</f>
        <v>17887.5889352868</v>
      </c>
    </row>
    <row r="19" customFormat="false" ht="15" hidden="false" customHeight="false" outlineLevel="0" collapsed="false">
      <c r="A19" s="28" t="s">
        <v>359</v>
      </c>
      <c r="B19" s="62" t="s">
        <v>51</v>
      </c>
      <c r="C19" s="69" t="n">
        <f aca="false">P19</f>
        <v>16</v>
      </c>
      <c r="D19" s="69" t="n">
        <f aca="false">AB19</f>
        <v>19</v>
      </c>
      <c r="E19" s="70" t="n">
        <f aca="false">Enterprise!E221</f>
        <v>13</v>
      </c>
      <c r="F19" s="70" t="n">
        <f aca="false">Enterprise!F221</f>
        <v>13</v>
      </c>
      <c r="G19" s="70" t="n">
        <f aca="false">Enterprise!G221</f>
        <v>12</v>
      </c>
      <c r="H19" s="70" t="n">
        <f aca="false">Enterprise!H221</f>
        <v>13</v>
      </c>
      <c r="I19" s="70" t="n">
        <f aca="false">Enterprise!I221</f>
        <v>13</v>
      </c>
      <c r="J19" s="70" t="n">
        <f aca="false">Enterprise!J221</f>
        <v>13</v>
      </c>
      <c r="K19" s="70" t="n">
        <f aca="false">Enterprise!K221</f>
        <v>14</v>
      </c>
      <c r="L19" s="70" t="n">
        <f aca="false">Enterprise!L221</f>
        <v>14</v>
      </c>
      <c r="M19" s="70" t="n">
        <f aca="false">Enterprise!M221</f>
        <v>14</v>
      </c>
      <c r="N19" s="70" t="n">
        <f aca="false">Enterprise!N221</f>
        <v>14</v>
      </c>
      <c r="O19" s="70" t="n">
        <f aca="false">Enterprise!O221</f>
        <v>15</v>
      </c>
      <c r="P19" s="70" t="n">
        <f aca="false">Enterprise!P221</f>
        <v>16</v>
      </c>
      <c r="Q19" s="70" t="n">
        <f aca="false">Enterprise!Q221</f>
        <v>16</v>
      </c>
      <c r="R19" s="70" t="n">
        <f aca="false">Enterprise!R221</f>
        <v>17</v>
      </c>
      <c r="S19" s="70" t="n">
        <f aca="false">Enterprise!S221</f>
        <v>18</v>
      </c>
      <c r="T19" s="70" t="n">
        <f aca="false">Enterprise!T221</f>
        <v>18</v>
      </c>
      <c r="U19" s="70" t="n">
        <f aca="false">Enterprise!U221</f>
        <v>19</v>
      </c>
      <c r="V19" s="70" t="n">
        <f aca="false">Enterprise!V221</f>
        <v>19</v>
      </c>
      <c r="W19" s="70" t="n">
        <f aca="false">Enterprise!W221</f>
        <v>19</v>
      </c>
      <c r="X19" s="70" t="n">
        <f aca="false">Enterprise!X221</f>
        <v>19</v>
      </c>
      <c r="Y19" s="70" t="n">
        <f aca="false">Enterprise!Y221</f>
        <v>19</v>
      </c>
      <c r="Z19" s="70" t="n">
        <f aca="false">Enterprise!Z221</f>
        <v>19</v>
      </c>
      <c r="AA19" s="70" t="n">
        <f aca="false">Enterprise!AA221</f>
        <v>19</v>
      </c>
      <c r="AB19" s="70" t="n">
        <f aca="false">Enterprise!AB221</f>
        <v>19</v>
      </c>
    </row>
    <row r="20" customFormat="false" ht="15" hidden="false" customHeight="false" outlineLevel="0" collapsed="false">
      <c r="A20" s="22" t="s">
        <v>360</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row>
    <row r="21" customFormat="false" ht="15" hidden="false" customHeight="false" outlineLevel="0" collapsed="false">
      <c r="A21" s="28" t="s">
        <v>361</v>
      </c>
      <c r="B21" s="62" t="s">
        <v>57</v>
      </c>
      <c r="C21" s="71" t="n">
        <f aca="false">Unit_Costs!C15</f>
        <v>10.1335268690123</v>
      </c>
      <c r="D21" s="71" t="n">
        <f aca="false">Unit_Costs!D15</f>
        <v>9.05413248672971</v>
      </c>
      <c r="E21" s="72" t="n">
        <f aca="false">Unit_Costs!E15</f>
        <v>10.7002027587929</v>
      </c>
      <c r="F21" s="72" t="n">
        <f aca="false">Unit_Costs!F15</f>
        <v>9.7741352117329</v>
      </c>
      <c r="G21" s="72" t="n">
        <f aca="false">Unit_Costs!G15</f>
        <v>10.3650749228831</v>
      </c>
      <c r="H21" s="72" t="n">
        <f aca="false">Unit_Costs!H15</f>
        <v>9.70248073265673</v>
      </c>
      <c r="I21" s="72" t="n">
        <f aca="false">Unit_Costs!I15</f>
        <v>10.142915067109</v>
      </c>
      <c r="J21" s="72" t="n">
        <f aca="false">Unit_Costs!J15</f>
        <v>10.8087443477937</v>
      </c>
      <c r="K21" s="72" t="n">
        <f aca="false">Unit_Costs!K15</f>
        <v>9.81936592146128</v>
      </c>
      <c r="L21" s="72" t="n">
        <f aca="false">Unit_Costs!L15</f>
        <v>9.66871567757441</v>
      </c>
      <c r="M21" s="72" t="n">
        <f aca="false">Unit_Costs!M15</f>
        <v>12.1364026177709</v>
      </c>
      <c r="N21" s="72" t="n">
        <f aca="false">Unit_Costs!N15</f>
        <v>9.59491960207463</v>
      </c>
      <c r="O21" s="72" t="n">
        <f aca="false">Unit_Costs!O15</f>
        <v>9.58898444600319</v>
      </c>
      <c r="P21" s="72" t="n">
        <f aca="false">Unit_Costs!P15</f>
        <v>9.47348354859519</v>
      </c>
      <c r="Q21" s="72" t="n">
        <f aca="false">Unit_Costs!Q15</f>
        <v>9.02056534709219</v>
      </c>
      <c r="R21" s="72" t="n">
        <f aca="false">Unit_Costs!R15</f>
        <v>8.59162378165449</v>
      </c>
      <c r="S21" s="72" t="n">
        <f aca="false">Unit_Costs!S15</f>
        <v>10.2216202017931</v>
      </c>
      <c r="T21" s="72" t="n">
        <f aca="false">Unit_Costs!T15</f>
        <v>8.60649278881882</v>
      </c>
      <c r="U21" s="72" t="n">
        <f aca="false">Unit_Costs!U15</f>
        <v>8.63772305925424</v>
      </c>
      <c r="V21" s="72" t="n">
        <f aca="false">Unit_Costs!V15</f>
        <v>9.5258197153634</v>
      </c>
      <c r="W21" s="72" t="n">
        <f aca="false">Unit_Costs!W15</f>
        <v>8.60005121966406</v>
      </c>
      <c r="X21" s="72" t="n">
        <f aca="false">Unit_Costs!X15</f>
        <v>8.62230751350489</v>
      </c>
      <c r="Y21" s="72" t="n">
        <f aca="false">Unit_Costs!Y15</f>
        <v>9.45376889345348</v>
      </c>
      <c r="Z21" s="72" t="n">
        <f aca="false">Unit_Costs!Z15</f>
        <v>9.50057983106426</v>
      </c>
      <c r="AA21" s="72" t="n">
        <f aca="false">Unit_Costs!AA15</f>
        <v>9.25437869749223</v>
      </c>
      <c r="AB21" s="72" t="n">
        <f aca="false">Unit_Costs!AB15</f>
        <v>8.60970030868769</v>
      </c>
    </row>
    <row r="22" customFormat="false" ht="15" hidden="false" customHeight="false" outlineLevel="0" collapsed="false">
      <c r="A22" s="28" t="s">
        <v>362</v>
      </c>
      <c r="B22" s="62" t="s">
        <v>57</v>
      </c>
      <c r="C22" s="71" t="n">
        <f aca="false">Unit_Costs!C28</f>
        <v>7.46470626066375</v>
      </c>
      <c r="D22" s="71" t="n">
        <f aca="false">Unit_Costs!D28</f>
        <v>6.63513761662794</v>
      </c>
      <c r="E22" s="72" t="n">
        <f aca="false">Unit_Costs!E28</f>
        <v>7.72379350659802</v>
      </c>
      <c r="F22" s="72" t="n">
        <f aca="false">Unit_Costs!F28</f>
        <v>7.16779290416944</v>
      </c>
      <c r="G22" s="72" t="n">
        <f aca="false">Unit_Costs!G28</f>
        <v>8.35708676750879</v>
      </c>
      <c r="H22" s="72" t="n">
        <f aca="false">Unit_Costs!H28</f>
        <v>7.18272274883065</v>
      </c>
      <c r="I22" s="72" t="n">
        <f aca="false">Unit_Costs!I28</f>
        <v>7.42847359833483</v>
      </c>
      <c r="J22" s="72" t="n">
        <f aca="false">Unit_Costs!J28</f>
        <v>8.08294671137734</v>
      </c>
      <c r="K22" s="72" t="n">
        <f aca="false">Unit_Costs!K28</f>
        <v>7.36794569416812</v>
      </c>
      <c r="L22" s="72" t="n">
        <f aca="false">Unit_Costs!L28</f>
        <v>7.78451004007741</v>
      </c>
      <c r="M22" s="72" t="n">
        <f aca="false">Unit_Costs!M28</f>
        <v>7.73160443151248</v>
      </c>
      <c r="N22" s="72" t="n">
        <f aca="false">Unit_Costs!N28</f>
        <v>7.0265819853721</v>
      </c>
      <c r="O22" s="72" t="n">
        <f aca="false">Unit_Costs!O28</f>
        <v>7.02498991458194</v>
      </c>
      <c r="P22" s="72" t="n">
        <f aca="false">Unit_Costs!P28</f>
        <v>6.96242336739981</v>
      </c>
      <c r="Q22" s="72" t="n">
        <f aca="false">Unit_Costs!Q28</f>
        <v>6.56977241526057</v>
      </c>
      <c r="R22" s="72" t="n">
        <f aca="false">Unit_Costs!R28</f>
        <v>6.30764743664938</v>
      </c>
      <c r="S22" s="72" t="n">
        <f aca="false">Unit_Costs!S28</f>
        <v>7.03671286966265</v>
      </c>
      <c r="T22" s="72" t="n">
        <f aca="false">Unit_Costs!T28</f>
        <v>6.30929990905821</v>
      </c>
      <c r="U22" s="72" t="n">
        <f aca="false">Unit_Costs!U28</f>
        <v>6.33160061312573</v>
      </c>
      <c r="V22" s="72" t="n">
        <f aca="false">Unit_Costs!V28</f>
        <v>8.07957878028354</v>
      </c>
      <c r="W22" s="72" t="n">
        <f aca="false">Unit_Costs!W28</f>
        <v>6.30936493919799</v>
      </c>
      <c r="X22" s="72" t="n">
        <f aca="false">Unit_Costs!X28</f>
        <v>6.48880054124473</v>
      </c>
      <c r="Y22" s="72" t="n">
        <f aca="false">Unit_Costs!Y28</f>
        <v>6.54753400710945</v>
      </c>
      <c r="Z22" s="72" t="n">
        <f aca="false">Unit_Costs!Z28</f>
        <v>6.90053086638747</v>
      </c>
      <c r="AA22" s="72" t="n">
        <f aca="false">Unit_Costs!AA28</f>
        <v>6.43564770428842</v>
      </c>
      <c r="AB22" s="72" t="n">
        <f aca="false">Unit_Costs!AB28</f>
        <v>6.31436516463292</v>
      </c>
    </row>
    <row r="23" customFormat="false" ht="15" hidden="false" customHeight="false" outlineLevel="0" collapsed="false">
      <c r="A23" s="28" t="s">
        <v>363</v>
      </c>
      <c r="B23" s="62" t="s">
        <v>57</v>
      </c>
      <c r="C23" s="71" t="n">
        <f aca="false">Unit_Costs!C41</f>
        <v>17.5607642964109</v>
      </c>
      <c r="D23" s="71" t="n">
        <f aca="false">Unit_Costs!D41</f>
        <v>15.5983128754593</v>
      </c>
      <c r="E23" s="72" t="n">
        <f aca="false">Unit_Costs!E41</f>
        <v>17.5209249108793</v>
      </c>
      <c r="F23" s="72" t="n">
        <f aca="false">Unit_Costs!F41</f>
        <v>16.8476270980086</v>
      </c>
      <c r="G23" s="72" t="n">
        <f aca="false">Unit_Costs!G41</f>
        <v>18.2519635431484</v>
      </c>
      <c r="H23" s="72" t="n">
        <f aca="false">Unit_Costs!H41</f>
        <v>16.9794243166983</v>
      </c>
      <c r="I23" s="72" t="n">
        <f aca="false">Unit_Costs!I41</f>
        <v>18.2743333148876</v>
      </c>
      <c r="J23" s="72" t="n">
        <f aca="false">Unit_Costs!J41</f>
        <v>17.9012346309583</v>
      </c>
      <c r="K23" s="72" t="n">
        <f aca="false">Unit_Costs!K41</f>
        <v>17.6960063786178</v>
      </c>
      <c r="L23" s="72" t="n">
        <f aca="false">Unit_Costs!L41</f>
        <v>17.7264900465535</v>
      </c>
      <c r="M23" s="72" t="n">
        <f aca="false">Unit_Costs!M41</f>
        <v>19.8759585727626</v>
      </c>
      <c r="N23" s="72" t="n">
        <f aca="false">Unit_Costs!N41</f>
        <v>16.682252400763</v>
      </c>
      <c r="O23" s="72" t="n">
        <f aca="false">Unit_Costs!O41</f>
        <v>16.6662183461339</v>
      </c>
      <c r="P23" s="72" t="n">
        <f aca="false">Unit_Costs!P41</f>
        <v>16.5130087373756</v>
      </c>
      <c r="Q23" s="72" t="n">
        <f aca="false">Unit_Costs!Q41</f>
        <v>15.2814380627268</v>
      </c>
      <c r="R23" s="72" t="n">
        <f aca="false">Unit_Costs!R41</f>
        <v>14.9194344810932</v>
      </c>
      <c r="S23" s="72" t="n">
        <f aca="false">Unit_Costs!S41</f>
        <v>17.3780973585071</v>
      </c>
      <c r="T23" s="72" t="n">
        <f aca="false">Unit_Costs!T41</f>
        <v>14.9242205331674</v>
      </c>
      <c r="U23" s="72" t="n">
        <f aca="false">Unit_Costs!U41</f>
        <v>14.930516345231</v>
      </c>
      <c r="V23" s="72" t="n">
        <f aca="false">Unit_Costs!V41</f>
        <v>17.2204075710232</v>
      </c>
      <c r="W23" s="72" t="n">
        <f aca="false">Unit_Costs!W41</f>
        <v>14.8830824784368</v>
      </c>
      <c r="X23" s="72" t="n">
        <f aca="false">Unit_Costs!X41</f>
        <v>15.1259833538809</v>
      </c>
      <c r="Y23" s="72" t="n">
        <f aca="false">Unit_Costs!Y41</f>
        <v>15.9483281880445</v>
      </c>
      <c r="Z23" s="72" t="n">
        <f aca="false">Unit_Costs!Z41</f>
        <v>15.8969712493958</v>
      </c>
      <c r="AA23" s="72" t="n">
        <f aca="false">Unit_Costs!AA41</f>
        <v>15.7988810073259</v>
      </c>
      <c r="AB23" s="72" t="n">
        <f aca="false">Unit_Costs!AB41</f>
        <v>14.8811897651664</v>
      </c>
    </row>
    <row r="24" customFormat="false" ht="15" hidden="false" customHeight="false" outlineLevel="0" collapsed="false">
      <c r="A24" s="28" t="s">
        <v>364</v>
      </c>
      <c r="B24" s="62" t="s">
        <v>57</v>
      </c>
      <c r="C24" s="71" t="n">
        <f aca="false">Unit_Costs!C16</f>
        <v>1.33782954054813</v>
      </c>
      <c r="D24" s="71" t="n">
        <f aca="false">Unit_Costs!D16</f>
        <v>1.20979264980415</v>
      </c>
      <c r="E24" s="72" t="n">
        <f aca="false">Unit_Costs!E16</f>
        <v>1.43292350780091</v>
      </c>
      <c r="F24" s="72" t="n">
        <f aca="false">Unit_Costs!F16</f>
        <v>1.36721322222859</v>
      </c>
      <c r="G24" s="72" t="n">
        <f aca="false">Unit_Costs!G16</f>
        <v>1.35336859974283</v>
      </c>
      <c r="H24" s="72" t="n">
        <f aca="false">Unit_Costs!H16</f>
        <v>1.33138199882172</v>
      </c>
      <c r="I24" s="72" t="n">
        <f aca="false">Unit_Costs!I16</f>
        <v>1.3232749913984</v>
      </c>
      <c r="J24" s="72" t="n">
        <f aca="false">Unit_Costs!J16</f>
        <v>1.36944603626495</v>
      </c>
      <c r="K24" s="72" t="n">
        <f aca="false">Unit_Costs!K16</f>
        <v>1.35295985174919</v>
      </c>
      <c r="L24" s="72" t="n">
        <f aca="false">Unit_Costs!L16</f>
        <v>1.33594898758634</v>
      </c>
      <c r="M24" s="72" t="n">
        <f aca="false">Unit_Costs!M16</f>
        <v>1.33573438243782</v>
      </c>
      <c r="N24" s="72" t="n">
        <f aca="false">Unit_Costs!N16</f>
        <v>1.30720628767897</v>
      </c>
      <c r="O24" s="72" t="n">
        <f aca="false">Unit_Costs!O16</f>
        <v>1.29302421449603</v>
      </c>
      <c r="P24" s="72" t="n">
        <f aca="false">Unit_Costs!P16</f>
        <v>1.28489986477417</v>
      </c>
      <c r="Q24" s="72" t="n">
        <f aca="false">Unit_Costs!Q16</f>
        <v>1.2537148704766</v>
      </c>
      <c r="R24" s="72" t="n">
        <f aca="false">Unit_Costs!R16</f>
        <v>1.23900911520792</v>
      </c>
      <c r="S24" s="72" t="n">
        <f aca="false">Unit_Costs!S16</f>
        <v>1.24133562315937</v>
      </c>
      <c r="T24" s="72" t="n">
        <f aca="false">Unit_Costs!T16</f>
        <v>1.22421560622021</v>
      </c>
      <c r="U24" s="72" t="n">
        <f aca="false">Unit_Costs!U16</f>
        <v>1.21830454293301</v>
      </c>
      <c r="V24" s="72" t="n">
        <f aca="false">Unit_Costs!V16</f>
        <v>1.20321293205969</v>
      </c>
      <c r="W24" s="72" t="n">
        <f aca="false">Unit_Costs!W16</f>
        <v>1.20510153613619</v>
      </c>
      <c r="X24" s="72" t="n">
        <f aca="false">Unit_Costs!X16</f>
        <v>1.20038742468086</v>
      </c>
      <c r="Y24" s="72" t="n">
        <f aca="false">Unit_Costs!Y16</f>
        <v>1.20044846212486</v>
      </c>
      <c r="Z24" s="72" t="n">
        <f aca="false">Unit_Costs!Z16</f>
        <v>1.18762503055206</v>
      </c>
      <c r="AA24" s="72" t="n">
        <f aca="false">Unit_Costs!AA16</f>
        <v>1.18345292495948</v>
      </c>
      <c r="AB24" s="72" t="n">
        <f aca="false">Unit_Costs!AB16</f>
        <v>1.17746039391831</v>
      </c>
    </row>
    <row r="25" customFormat="false" ht="15" hidden="false" customHeight="false" outlineLevel="0" collapsed="false">
      <c r="A25" s="28" t="s">
        <v>365</v>
      </c>
      <c r="B25" s="62" t="s">
        <v>57</v>
      </c>
      <c r="C25" s="71" t="n">
        <f aca="false">Unit_Costs!C29</f>
        <v>2.78178070680205</v>
      </c>
      <c r="D25" s="71" t="n">
        <f aca="false">Unit_Costs!D29</f>
        <v>2.30872923731186</v>
      </c>
      <c r="E25" s="72" t="n">
        <f aca="false">Unit_Costs!E29</f>
        <v>2.97135429757011</v>
      </c>
      <c r="F25" s="72" t="n">
        <f aca="false">Unit_Costs!F29</f>
        <v>2.90135836953716</v>
      </c>
      <c r="G25" s="72" t="n">
        <f aca="false">Unit_Costs!G29</f>
        <v>3.01801211540459</v>
      </c>
      <c r="H25" s="72" t="n">
        <f aca="false">Unit_Costs!H29</f>
        <v>2.84979805160834</v>
      </c>
      <c r="I25" s="72" t="n">
        <f aca="false">Unit_Costs!I29</f>
        <v>2.98166524084832</v>
      </c>
      <c r="J25" s="72" t="n">
        <f aca="false">Unit_Costs!J29</f>
        <v>2.94067295264077</v>
      </c>
      <c r="K25" s="72" t="n">
        <f aca="false">Unit_Costs!K29</f>
        <v>2.94651317345068</v>
      </c>
      <c r="L25" s="72" t="n">
        <f aca="false">Unit_Costs!L29</f>
        <v>2.93800269904221</v>
      </c>
      <c r="M25" s="72" t="n">
        <f aca="false">Unit_Costs!M29</f>
        <v>2.91376891910928</v>
      </c>
      <c r="N25" s="72" t="n">
        <f aca="false">Unit_Costs!N29</f>
        <v>2.39300342071873</v>
      </c>
      <c r="O25" s="72" t="n">
        <f aca="false">Unit_Costs!O29</f>
        <v>2.38077894283482</v>
      </c>
      <c r="P25" s="72" t="n">
        <f aca="false">Unit_Costs!P29</f>
        <v>2.37549127706852</v>
      </c>
      <c r="Q25" s="72" t="n">
        <f aca="false">Unit_Costs!Q29</f>
        <v>2.34947935868037</v>
      </c>
      <c r="R25" s="72" t="n">
        <f aca="false">Unit_Costs!R29</f>
        <v>2.33663528424402</v>
      </c>
      <c r="S25" s="72" t="n">
        <f aca="false">Unit_Costs!S29</f>
        <v>2.33038382882327</v>
      </c>
      <c r="T25" s="72" t="n">
        <f aca="false">Unit_Costs!T29</f>
        <v>2.32227016107066</v>
      </c>
      <c r="U25" s="72" t="n">
        <f aca="false">Unit_Costs!U29</f>
        <v>2.31798636282225</v>
      </c>
      <c r="V25" s="72" t="n">
        <f aca="false">Unit_Costs!V29</f>
        <v>2.32729757657837</v>
      </c>
      <c r="W25" s="72" t="n">
        <f aca="false">Unit_Costs!W29</f>
        <v>2.30406131868827</v>
      </c>
      <c r="X25" s="72" t="n">
        <f aca="false">Unit_Costs!X29</f>
        <v>2.30393937173371</v>
      </c>
      <c r="Y25" s="72" t="n">
        <f aca="false">Unit_Costs!Y29</f>
        <v>2.2911870511688</v>
      </c>
      <c r="Z25" s="72" t="n">
        <f aca="false">Unit_Costs!Z29</f>
        <v>2.28489866540303</v>
      </c>
      <c r="AA25" s="72" t="n">
        <f aca="false">Unit_Costs!AA29</f>
        <v>2.27497705413585</v>
      </c>
      <c r="AB25" s="72" t="n">
        <f aca="false">Unit_Costs!AB29</f>
        <v>2.27795152878013</v>
      </c>
    </row>
    <row r="26" customFormat="false" ht="15" hidden="false" customHeight="false" outlineLevel="0" collapsed="false">
      <c r="A26" s="28" t="s">
        <v>366</v>
      </c>
      <c r="B26" s="62" t="s">
        <v>57</v>
      </c>
      <c r="C26" s="71" t="n">
        <f aca="false">Unit_Costs!C42</f>
        <v>5.45069709148814</v>
      </c>
      <c r="D26" s="71" t="n">
        <f aca="false">Unit_Costs!D42</f>
        <v>4.38571364723663</v>
      </c>
      <c r="E26" s="72" t="n">
        <f aca="false">Unit_Costs!E42</f>
        <v>5.80161969379544</v>
      </c>
      <c r="F26" s="72" t="n">
        <f aca="false">Unit_Costs!F42</f>
        <v>5.74135071906251</v>
      </c>
      <c r="G26" s="72" t="n">
        <f aca="false">Unit_Costs!G42</f>
        <v>5.9337856769912</v>
      </c>
      <c r="H26" s="72" t="n">
        <f aca="false">Unit_Costs!H42</f>
        <v>5.63250487628317</v>
      </c>
      <c r="I26" s="72" t="n">
        <f aca="false">Unit_Costs!I42</f>
        <v>5.98072267768387</v>
      </c>
      <c r="J26" s="72" t="n">
        <f aca="false">Unit_Costs!J42</f>
        <v>5.77712593908443</v>
      </c>
      <c r="K26" s="72" t="n">
        <f aca="false">Unit_Costs!K42</f>
        <v>5.84439561408043</v>
      </c>
      <c r="L26" s="72" t="n">
        <f aca="false">Unit_Costs!L42</f>
        <v>5.81432130175165</v>
      </c>
      <c r="M26" s="72" t="n">
        <f aca="false">Unit_Costs!M42</f>
        <v>5.83113347033669</v>
      </c>
      <c r="N26" s="72" t="n">
        <f aca="false">Unit_Costs!N42</f>
        <v>4.5149464426566</v>
      </c>
      <c r="O26" s="72" t="n">
        <f aca="false">Unit_Costs!O42</f>
        <v>4.49648908835328</v>
      </c>
      <c r="P26" s="72" t="n">
        <f aca="false">Unit_Costs!P42</f>
        <v>4.48333377190852</v>
      </c>
      <c r="Q26" s="72" t="n">
        <f aca="false">Unit_Costs!Q42</f>
        <v>4.42360104389232</v>
      </c>
      <c r="R26" s="72" t="n">
        <f aca="false">Unit_Costs!R42</f>
        <v>4.41856769795847</v>
      </c>
      <c r="S26" s="72" t="n">
        <f aca="false">Unit_Costs!S42</f>
        <v>4.40912900840612</v>
      </c>
      <c r="T26" s="72" t="n">
        <f aca="false">Unit_Costs!T42</f>
        <v>4.40331301063093</v>
      </c>
      <c r="U26" s="72" t="n">
        <f aca="false">Unit_Costs!U42</f>
        <v>4.39175061627417</v>
      </c>
      <c r="V26" s="72" t="n">
        <f aca="false">Unit_Costs!V42</f>
        <v>4.38388032118928</v>
      </c>
      <c r="W26" s="72" t="n">
        <f aca="false">Unit_Costs!W42</f>
        <v>4.38377336291356</v>
      </c>
      <c r="X26" s="72" t="n">
        <f aca="false">Unit_Costs!X42</f>
        <v>4.38102047118965</v>
      </c>
      <c r="Y26" s="72" t="n">
        <f aca="false">Unit_Costs!Y42</f>
        <v>4.37236461173346</v>
      </c>
      <c r="Z26" s="72" t="n">
        <f aca="false">Unit_Costs!Z42</f>
        <v>4.35926141326219</v>
      </c>
      <c r="AA26" s="72" t="n">
        <f aca="false">Unit_Costs!AA42</f>
        <v>4.36221331014045</v>
      </c>
      <c r="AB26" s="72" t="n">
        <f aca="false">Unit_Costs!AB42</f>
        <v>4.35473654381824</v>
      </c>
    </row>
    <row r="27" customFormat="false" ht="15" hidden="false" customHeight="false" outlineLevel="0" collapsed="false">
      <c r="A27" s="28" t="s">
        <v>367</v>
      </c>
      <c r="B27" s="62" t="s">
        <v>30</v>
      </c>
      <c r="C27" s="66" t="n">
        <f aca="false">PL!C67</f>
        <v>0.250942981017594</v>
      </c>
      <c r="D27" s="66" t="n">
        <f aca="false">PL!D67</f>
        <v>0.236262962290188</v>
      </c>
      <c r="E27" s="63" t="n">
        <f aca="false">PL!E67</f>
        <v>0.2599896737536</v>
      </c>
      <c r="F27" s="63" t="n">
        <f aca="false">PL!F67</f>
        <v>0.272866577189361</v>
      </c>
      <c r="G27" s="63" t="n">
        <f aca="false">PL!G67</f>
        <v>0.253875276271893</v>
      </c>
      <c r="H27" s="63" t="n">
        <f aca="false">PL!H67</f>
        <v>0.264680177106543</v>
      </c>
      <c r="I27" s="63" t="n">
        <f aca="false">PL!I67</f>
        <v>0.262043625865987</v>
      </c>
      <c r="J27" s="63" t="n">
        <f aca="false">PL!J67</f>
        <v>0.24731399316506</v>
      </c>
      <c r="K27" s="63" t="n">
        <f aca="false">PL!K67</f>
        <v>0.268948187344392</v>
      </c>
      <c r="L27" s="63" t="n">
        <f aca="false">PL!L67</f>
        <v>0.264720331676942</v>
      </c>
      <c r="M27" s="63" t="n">
        <f aca="false">PL!M67</f>
        <v>0.23184367024474</v>
      </c>
      <c r="N27" s="63" t="n">
        <f aca="false">PL!N67</f>
        <v>0.233014817200244</v>
      </c>
      <c r="O27" s="63" t="n">
        <f aca="false">PL!O67</f>
        <v>0.231530076014267</v>
      </c>
      <c r="P27" s="63" t="n">
        <f aca="false">PL!P67</f>
        <v>0.232746352061828</v>
      </c>
      <c r="Q27" s="63" t="n">
        <f aca="false">PL!Q67</f>
        <v>0.243197871028152</v>
      </c>
      <c r="R27" s="63" t="n">
        <f aca="false">PL!R67</f>
        <v>0.251632694645865</v>
      </c>
      <c r="S27" s="63" t="n">
        <f aca="false">PL!S67</f>
        <v>0.216767652843839</v>
      </c>
      <c r="T27" s="63" t="n">
        <f aca="false">PL!T67</f>
        <v>0.249951550940807</v>
      </c>
      <c r="U27" s="63" t="n">
        <f aca="false">PL!U67</f>
        <v>0.248487556539264</v>
      </c>
      <c r="V27" s="63" t="n">
        <f aca="false">PL!V67</f>
        <v>0.21254311924502</v>
      </c>
      <c r="W27" s="63" t="n">
        <f aca="false">PL!W67</f>
        <v>0.247907804902177</v>
      </c>
      <c r="X27" s="63" t="n">
        <f aca="false">PL!X67</f>
        <v>0.244164346819349</v>
      </c>
      <c r="Y27" s="63" t="n">
        <f aca="false">PL!Y67</f>
        <v>0.22960961249233</v>
      </c>
      <c r="Z27" s="63" t="n">
        <f aca="false">PL!Z67</f>
        <v>0.22488315087969</v>
      </c>
      <c r="AA27" s="63" t="n">
        <f aca="false">PL!AA67</f>
        <v>0.231951924852131</v>
      </c>
      <c r="AB27" s="63" t="n">
        <f aca="false">PL!AB67</f>
        <v>0.244421479891961</v>
      </c>
    </row>
    <row r="28" customFormat="false" ht="15" hidden="false" customHeight="false" outlineLevel="0" collapsed="false">
      <c r="A28" s="28" t="s">
        <v>368</v>
      </c>
      <c r="B28" s="62" t="s">
        <v>30</v>
      </c>
      <c r="C28" s="66" t="n">
        <f aca="false">PL!C27</f>
        <v>0.585325677668676</v>
      </c>
      <c r="D28" s="66" t="n">
        <f aca="false">PL!D27</f>
        <v>0.619396757900451</v>
      </c>
      <c r="E28" s="63" t="n">
        <f aca="false">PL!E27</f>
        <v>0.589097232718989</v>
      </c>
      <c r="F28" s="63" t="n">
        <f aca="false">PL!F27</f>
        <v>0.577462789627625</v>
      </c>
      <c r="G28" s="63" t="n">
        <f aca="false">PL!G27</f>
        <v>0.588894851830327</v>
      </c>
      <c r="H28" s="63" t="n">
        <f aca="false">PL!H27</f>
        <v>0.577104616173067</v>
      </c>
      <c r="I28" s="63" t="n">
        <f aca="false">PL!I27</f>
        <v>0.578388876518911</v>
      </c>
      <c r="J28" s="63" t="n">
        <f aca="false">PL!J27</f>
        <v>0.515805510481307</v>
      </c>
      <c r="K28" s="63" t="n">
        <f aca="false">PL!K27</f>
        <v>0.552924977944718</v>
      </c>
      <c r="L28" s="63" t="n">
        <f aca="false">PL!L27</f>
        <v>0.573550841483361</v>
      </c>
      <c r="M28" s="63" t="n">
        <f aca="false">PL!M27</f>
        <v>0.632694510627544</v>
      </c>
      <c r="N28" s="63" t="n">
        <f aca="false">PL!N27</f>
        <v>0.602967459284008</v>
      </c>
      <c r="O28" s="63" t="n">
        <f aca="false">PL!O27</f>
        <v>0.607234436202696</v>
      </c>
      <c r="P28" s="63" t="n">
        <f aca="false">PL!P27</f>
        <v>0.615753307462899</v>
      </c>
      <c r="Q28" s="63" t="n">
        <f aca="false">PL!Q27</f>
        <v>0.593459511418306</v>
      </c>
      <c r="R28" s="63" t="n">
        <f aca="false">PL!R27</f>
        <v>0.591293432763614</v>
      </c>
      <c r="S28" s="63" t="n">
        <f aca="false">PL!S27</f>
        <v>0.646082739760804</v>
      </c>
      <c r="T28" s="63" t="n">
        <f aca="false">PL!T27</f>
        <v>0.589510109556223</v>
      </c>
      <c r="U28" s="63" t="n">
        <f aca="false">PL!U27</f>
        <v>0.597304331478701</v>
      </c>
      <c r="V28" s="63" t="n">
        <f aca="false">PL!V27</f>
        <v>0.651009498855947</v>
      </c>
      <c r="W28" s="63" t="n">
        <f aca="false">PL!W27</f>
        <v>0.612089329786442</v>
      </c>
      <c r="X28" s="63" t="n">
        <f aca="false">PL!X27</f>
        <v>0.638237857545877</v>
      </c>
      <c r="Y28" s="63" t="n">
        <f aca="false">PL!Y27</f>
        <v>0.623964426926473</v>
      </c>
      <c r="Z28" s="63" t="n">
        <f aca="false">PL!Z27</f>
        <v>0.636354106805477</v>
      </c>
      <c r="AA28" s="63" t="n">
        <f aca="false">PL!AA27</f>
        <v>0.62400289653937</v>
      </c>
      <c r="AB28" s="63" t="n">
        <f aca="false">PL!AB27</f>
        <v>0.612264105819668</v>
      </c>
    </row>
    <row r="29" customFormat="false" ht="15" hidden="false" customHeight="false" outlineLevel="0" collapsed="false">
      <c r="A29" s="28" t="s">
        <v>369</v>
      </c>
      <c r="B29" s="62" t="s">
        <v>59</v>
      </c>
      <c r="C29" s="66" t="n">
        <f aca="false">Margins!C14</f>
        <v>0.719257765573792</v>
      </c>
      <c r="D29" s="66" t="n">
        <f aca="false">Margins!D14</f>
        <v>0.722060302720101</v>
      </c>
      <c r="E29" s="63" t="n">
        <f aca="false">Margins!E14</f>
        <v>0.715432988566069</v>
      </c>
      <c r="F29" s="63" t="n">
        <f aca="false">Margins!F14</f>
        <v>0.710437915230989</v>
      </c>
      <c r="G29" s="63" t="n">
        <f aca="false">Margins!G14</f>
        <v>0.712014604115303</v>
      </c>
      <c r="H29" s="63" t="n">
        <f aca="false">Margins!H14</f>
        <v>0.704844461208186</v>
      </c>
      <c r="I29" s="63" t="n">
        <f aca="false">Margins!I14</f>
        <v>0.710202175067458</v>
      </c>
      <c r="J29" s="63" t="n">
        <f aca="false">Margins!J14</f>
        <v>0.720882459329137</v>
      </c>
      <c r="K29" s="63" t="n">
        <f aca="false">Margins!K14</f>
        <v>0.723344662576654</v>
      </c>
      <c r="L29" s="63" t="n">
        <f aca="false">Margins!L14</f>
        <v>0.748164262111881</v>
      </c>
      <c r="M29" s="63" t="n">
        <f aca="false">Margins!M14</f>
        <v>0.756794311602998</v>
      </c>
      <c r="N29" s="63" t="n">
        <f aca="false">Margins!N14</f>
        <v>0.699797643153129</v>
      </c>
      <c r="O29" s="63" t="n">
        <f aca="false">Margins!O14</f>
        <v>0.703987602004392</v>
      </c>
      <c r="P29" s="63" t="n">
        <f aca="false">Margins!P14</f>
        <v>0.712984596933449</v>
      </c>
      <c r="Q29" s="63" t="n">
        <f aca="false">Margins!Q14</f>
        <v>0.697855790150334</v>
      </c>
      <c r="R29" s="63" t="n">
        <f aca="false">Margins!R14</f>
        <v>0.698806202778573</v>
      </c>
      <c r="S29" s="63" t="n">
        <f aca="false">Margins!S14</f>
        <v>0.741678971441959</v>
      </c>
      <c r="T29" s="63" t="n">
        <f aca="false">Margins!T14</f>
        <v>0.6972722699634</v>
      </c>
      <c r="U29" s="63" t="n">
        <f aca="false">Margins!U14</f>
        <v>0.704792061567762</v>
      </c>
      <c r="V29" s="63" t="n">
        <f aca="false">Margins!V14</f>
        <v>0.736703335088918</v>
      </c>
      <c r="W29" s="63" t="n">
        <f aca="false">Margins!W14</f>
        <v>0.719918579270271</v>
      </c>
      <c r="X29" s="63" t="n">
        <f aca="false">Margins!X14</f>
        <v>0.74312379105958</v>
      </c>
      <c r="Y29" s="63" t="n">
        <f aca="false">Margins!Y14</f>
        <v>0.726925987972178</v>
      </c>
      <c r="Z29" s="63" t="n">
        <f aca="false">Margins!Z14</f>
        <v>0.736404979997693</v>
      </c>
      <c r="AA29" s="63" t="n">
        <f aca="false">Margins!AA14</f>
        <v>0.728321797310929</v>
      </c>
      <c r="AB29" s="63" t="n">
        <f aca="false">Margins!AB14</f>
        <v>0.719956156402094</v>
      </c>
    </row>
    <row r="30" customFormat="false" ht="15" hidden="false" customHeight="false" outlineLevel="0" collapsed="false">
      <c r="A30" s="28" t="s">
        <v>370</v>
      </c>
      <c r="B30" s="62" t="s">
        <v>59</v>
      </c>
      <c r="C30" s="66" t="n">
        <f aca="false">Margins!C21</f>
        <v>0.479717890237774</v>
      </c>
      <c r="D30" s="66" t="n">
        <f aca="false">Margins!D21</f>
        <v>0.508809354322011</v>
      </c>
      <c r="E30" s="63" t="n">
        <f aca="false">Margins!E21</f>
        <v>0.465376286773991</v>
      </c>
      <c r="F30" s="63" t="n">
        <f aca="false">Margins!F21</f>
        <v>0.446583837916645</v>
      </c>
      <c r="G30" s="63" t="n">
        <f aca="false">Margins!G21</f>
        <v>0.483335775929021</v>
      </c>
      <c r="H30" s="63" t="n">
        <f aca="false">Margins!H21</f>
        <v>0.445924760963704</v>
      </c>
      <c r="I30" s="63" t="n">
        <f aca="false">Margins!I21</f>
        <v>0.439776953546005</v>
      </c>
      <c r="J30" s="63" t="n">
        <f aca="false">Margins!J21</f>
        <v>0.484368233194882</v>
      </c>
      <c r="K30" s="63" t="n">
        <f aca="false">Margins!K21</f>
        <v>0.462533616852467</v>
      </c>
      <c r="L30" s="63" t="n">
        <f aca="false">Margins!L21</f>
        <v>0.510925512636405</v>
      </c>
      <c r="M30" s="63" t="n">
        <f aca="false">Margins!M21</f>
        <v>0.489527649890693</v>
      </c>
      <c r="N30" s="63" t="n">
        <f aca="false">Margins!N21</f>
        <v>0.496620087265202</v>
      </c>
      <c r="O30" s="63" t="n">
        <f aca="false">Margins!O21</f>
        <v>0.501030492248278</v>
      </c>
      <c r="P30" s="63" t="n">
        <f aca="false">Margins!P21</f>
        <v>0.508414590919893</v>
      </c>
      <c r="Q30" s="63" t="n">
        <f aca="false">Margins!Q21</f>
        <v>0.480083341870312</v>
      </c>
      <c r="R30" s="63" t="n">
        <f aca="false">Margins!R21</f>
        <v>0.473561604666261</v>
      </c>
      <c r="S30" s="63" t="n">
        <f aca="false">Margins!S21</f>
        <v>0.532284665640924</v>
      </c>
      <c r="T30" s="63" t="n">
        <f aca="false">Margins!T21</f>
        <v>0.472490310614232</v>
      </c>
      <c r="U30" s="63" t="n">
        <f aca="false">Margins!U21</f>
        <v>0.480745487669771</v>
      </c>
      <c r="V30" s="63" t="n">
        <f aca="false">Margins!V21</f>
        <v>0.577218004606672</v>
      </c>
      <c r="W30" s="63" t="n">
        <f aca="false">Margins!W21</f>
        <v>0.495856379185002</v>
      </c>
      <c r="X30" s="63" t="n">
        <f aca="false">Margins!X21</f>
        <v>0.528480394429148</v>
      </c>
      <c r="Y30" s="63" t="n">
        <f aca="false">Margins!Y21</f>
        <v>0.50426266872115</v>
      </c>
      <c r="Z30" s="63" t="n">
        <f aca="false">Margins!Z21</f>
        <v>0.531114110296557</v>
      </c>
      <c r="AA30" s="63" t="n">
        <f aca="false">Margins!AA21</f>
        <v>0.503096479125558</v>
      </c>
      <c r="AB30" s="63" t="n">
        <f aca="false">Margins!AB21</f>
        <v>0.496971105030449</v>
      </c>
    </row>
    <row r="31" customFormat="false" ht="15" hidden="false" customHeight="false" outlineLevel="0" collapsed="false">
      <c r="A31" s="28" t="s">
        <v>371</v>
      </c>
      <c r="B31" s="62" t="s">
        <v>59</v>
      </c>
      <c r="C31" s="66" t="n">
        <f aca="false">Margins!C28</f>
        <v>0.539566117327335</v>
      </c>
      <c r="D31" s="66" t="n">
        <f aca="false">Margins!D28</f>
        <v>0.57325278501839</v>
      </c>
      <c r="E31" s="63" t="n">
        <f aca="false">Margins!E28</f>
        <v>0.516474729421808</v>
      </c>
      <c r="F31" s="63" t="n">
        <f aca="false">Margins!F28</f>
        <v>0.508494216909094</v>
      </c>
      <c r="G31" s="63" t="n">
        <f aca="false">Margins!G28</f>
        <v>0.515993166583546</v>
      </c>
      <c r="H31" s="63" t="n">
        <f aca="false">Margins!H28</f>
        <v>0.508668609550208</v>
      </c>
      <c r="I31" s="63" t="n">
        <f aca="false">Margins!I28</f>
        <v>0.512066433176147</v>
      </c>
      <c r="J31" s="63" t="n">
        <f aca="false">Margins!J28</f>
        <v>0.522610875699261</v>
      </c>
      <c r="K31" s="63" t="n">
        <f aca="false">Margins!K28</f>
        <v>0.529847891502812</v>
      </c>
      <c r="L31" s="63" t="n">
        <f aca="false">Margins!L28</f>
        <v>0.557582237690039</v>
      </c>
      <c r="M31" s="63" t="n">
        <f aca="false">Margins!M28</f>
        <v>0.571631874980881</v>
      </c>
      <c r="N31" s="63" t="n">
        <f aca="false">Margins!N28</f>
        <v>0.563956576871179</v>
      </c>
      <c r="O31" s="63" t="n">
        <f aca="false">Margins!O28</f>
        <v>0.567592502856239</v>
      </c>
      <c r="P31" s="63" t="n">
        <f aca="false">Margins!P28</f>
        <v>0.575623440975024</v>
      </c>
      <c r="Q31" s="63" t="n">
        <f aca="false">Margins!Q28</f>
        <v>0.545731922131869</v>
      </c>
      <c r="R31" s="63" t="n">
        <f aca="false">Margins!R28</f>
        <v>0.545446212334317</v>
      </c>
      <c r="S31" s="63" t="n">
        <f aca="false">Margins!S28</f>
        <v>0.608048213392582</v>
      </c>
      <c r="T31" s="63" t="n">
        <f aca="false">Margins!T28</f>
        <v>0.543130251033191</v>
      </c>
      <c r="U31" s="63" t="n">
        <f aca="false">Margins!U28</f>
        <v>0.550425276657287</v>
      </c>
      <c r="V31" s="63" t="n">
        <f aca="false">Margins!V28</f>
        <v>0.607741412853056</v>
      </c>
      <c r="W31" s="63" t="n">
        <f aca="false">Margins!W28</f>
        <v>0.564238069822754</v>
      </c>
      <c r="X31" s="63" t="n">
        <f aca="false">Margins!X28</f>
        <v>0.59160058166128</v>
      </c>
      <c r="Y31" s="63" t="n">
        <f aca="false">Margins!Y28</f>
        <v>0.578204120358195</v>
      </c>
      <c r="Z31" s="63" t="n">
        <f aca="false">Margins!Z28</f>
        <v>0.585607606644563</v>
      </c>
      <c r="AA31" s="63" t="n">
        <f aca="false">Margins!AA28</f>
        <v>0.578763219738775</v>
      </c>
      <c r="AB31" s="63" t="n">
        <f aca="false">Margins!AB28</f>
        <v>0.562853897773512</v>
      </c>
    </row>
    <row r="32" customFormat="false" ht="15" hidden="false" customHeight="false" outlineLevel="0" collapsed="false">
      <c r="A32" s="28" t="s">
        <v>372</v>
      </c>
      <c r="B32" s="62" t="s">
        <v>59</v>
      </c>
      <c r="C32" s="66" t="n">
        <f aca="false">Margins!C35</f>
        <v>0.643636314849669</v>
      </c>
      <c r="D32" s="66" t="n">
        <f aca="false">Margins!D35</f>
        <v>0.662989765261988</v>
      </c>
      <c r="E32" s="63" t="n">
        <f aca="false">Margins!E35</f>
        <v>0.63016284765679</v>
      </c>
      <c r="F32" s="63" t="n">
        <f aca="false">Margins!F35</f>
        <v>0.64451595833389</v>
      </c>
      <c r="G32" s="63" t="n">
        <f aca="false">Margins!G35</f>
        <v>0.623630653402289</v>
      </c>
      <c r="H32" s="63" t="n">
        <f aca="false">Margins!H35</f>
        <v>0.635092393707283</v>
      </c>
      <c r="I32" s="63" t="n">
        <f aca="false">Margins!I35</f>
        <v>0.621487031050907</v>
      </c>
      <c r="J32" s="63" t="n">
        <f aca="false">Margins!J35</f>
        <v>0.630497814088358</v>
      </c>
      <c r="K32" s="63" t="n">
        <f aca="false">Margins!K35</f>
        <v>0.6461537685624</v>
      </c>
      <c r="L32" s="63" t="n">
        <f aca="false">Margins!L35</f>
        <v>0.667920175385034</v>
      </c>
      <c r="M32" s="63" t="n">
        <f aca="false">Margins!M35</f>
        <v>0.647658367227459</v>
      </c>
      <c r="N32" s="63" t="n">
        <f aca="false">Margins!N35</f>
        <v>0.650064702385626</v>
      </c>
      <c r="O32" s="63" t="n">
        <f aca="false">Margins!O35</f>
        <v>0.657197739873737</v>
      </c>
      <c r="P32" s="63" t="n">
        <f aca="false">Margins!P35</f>
        <v>0.659577754445983</v>
      </c>
      <c r="Q32" s="63" t="n">
        <f aca="false">Margins!Q35</f>
        <v>0.644625648297831</v>
      </c>
      <c r="R32" s="63" t="n">
        <f aca="false">Margins!R35</f>
        <v>0.646709601214715</v>
      </c>
      <c r="S32" s="63" t="n">
        <f aca="false">Margins!S35</f>
        <v>0.667530404199874</v>
      </c>
      <c r="T32" s="63" t="n">
        <f aca="false">Margins!T35</f>
        <v>0.645581042389936</v>
      </c>
      <c r="U32" s="63" t="n">
        <f aca="false">Margins!U35</f>
        <v>0.65813904452873</v>
      </c>
      <c r="V32" s="63" t="n">
        <f aca="false">Margins!V35</f>
        <v>0.663717205652176</v>
      </c>
      <c r="W32" s="63" t="n">
        <f aca="false">Margins!W35</f>
        <v>0.668366217555358</v>
      </c>
      <c r="X32" s="63" t="n">
        <f aca="false">Margins!X35</f>
        <v>0.690585671038517</v>
      </c>
      <c r="Y32" s="63" t="n">
        <f aca="false">Margins!Y35</f>
        <v>0.661285504935351</v>
      </c>
      <c r="Z32" s="63" t="n">
        <f aca="false">Margins!Z35</f>
        <v>0.669831690018007</v>
      </c>
      <c r="AA32" s="63" t="n">
        <f aca="false">Margins!AA35</f>
        <v>0.665607709109268</v>
      </c>
      <c r="AB32" s="63" t="n">
        <f aca="false">Margins!AB35</f>
        <v>0.667315721642296</v>
      </c>
    </row>
    <row r="33" customFormat="false" ht="15" hidden="false" customHeight="false" outlineLevel="0" collapsed="false">
      <c r="A33" s="28" t="s">
        <v>373</v>
      </c>
      <c r="B33" s="62" t="s">
        <v>59</v>
      </c>
      <c r="C33" s="66" t="n">
        <f aca="false">Margins!C41</f>
        <v>0.632561770391033</v>
      </c>
      <c r="D33" s="66" t="n">
        <f aca="false">Margins!D41</f>
        <v>0.652275626181996</v>
      </c>
      <c r="E33" s="63" t="n">
        <f aca="false">Margins!E41</f>
        <v>0.617290123561719</v>
      </c>
      <c r="F33" s="63" t="n">
        <f aca="false">Margins!F41</f>
        <v>0.624840812651087</v>
      </c>
      <c r="G33" s="63" t="n">
        <f aca="false">Margins!G41</f>
        <v>0.610833036278545</v>
      </c>
      <c r="H33" s="63" t="n">
        <f aca="false">Margins!H41</f>
        <v>0.621112418555625</v>
      </c>
      <c r="I33" s="63" t="n">
        <f aca="false">Margins!I41</f>
        <v>0.60937981726266</v>
      </c>
      <c r="J33" s="63" t="n">
        <f aca="false">Margins!J41</f>
        <v>0.61830796647386</v>
      </c>
      <c r="K33" s="63" t="n">
        <f aca="false">Margins!K41</f>
        <v>0.631691422081884</v>
      </c>
      <c r="L33" s="63" t="n">
        <f aca="false">Margins!L41</f>
        <v>0.658168033340507</v>
      </c>
      <c r="M33" s="63" t="n">
        <f aca="false">Margins!M41</f>
        <v>0.636677001040343</v>
      </c>
      <c r="N33" s="63" t="n">
        <f aca="false">Margins!N41</f>
        <v>0.645297358953831</v>
      </c>
      <c r="O33" s="63" t="n">
        <f aca="false">Margins!O41</f>
        <v>0.649219707163797</v>
      </c>
      <c r="P33" s="63" t="n">
        <f aca="false">Margins!P41</f>
        <v>0.659352777756126</v>
      </c>
      <c r="Q33" s="63" t="n">
        <f aca="false">Margins!Q41</f>
        <v>0.630438380612199</v>
      </c>
      <c r="R33" s="63" t="n">
        <f aca="false">Margins!R41</f>
        <v>0.637974025076229</v>
      </c>
      <c r="S33" s="63" t="n">
        <f aca="false">Margins!S41</f>
        <v>0.656502698034024</v>
      </c>
      <c r="T33" s="63" t="n">
        <f aca="false">Margins!T41</f>
        <v>0.635859157918515</v>
      </c>
      <c r="U33" s="63" t="n">
        <f aca="false">Margins!U41</f>
        <v>0.642780381845219</v>
      </c>
      <c r="V33" s="63" t="n">
        <f aca="false">Margins!V41</f>
        <v>0.6588707930876</v>
      </c>
      <c r="W33" s="63" t="n">
        <f aca="false">Margins!W41</f>
        <v>0.658037251505649</v>
      </c>
      <c r="X33" s="63" t="n">
        <f aca="false">Margins!X41</f>
        <v>0.680599102693492</v>
      </c>
      <c r="Y33" s="63" t="n">
        <f aca="false">Margins!Y41</f>
        <v>0.651018117236599</v>
      </c>
      <c r="Z33" s="63" t="n">
        <f aca="false">Margins!Z41</f>
        <v>0.659516086241809</v>
      </c>
      <c r="AA33" s="63" t="n">
        <f aca="false">Margins!AA41</f>
        <v>0.655172187540578</v>
      </c>
      <c r="AB33" s="63" t="n">
        <f aca="false">Margins!AB41</f>
        <v>0.656903701839229</v>
      </c>
    </row>
    <row r="34" customFormat="false" ht="15" hidden="false" customHeight="false" outlineLevel="0" collapsed="false">
      <c r="A34" s="28" t="s">
        <v>374</v>
      </c>
      <c r="B34" s="62" t="s">
        <v>59</v>
      </c>
      <c r="C34" s="66" t="n">
        <f aca="false">Margins!C47</f>
        <v>0.560595999568655</v>
      </c>
      <c r="D34" s="66" t="n">
        <f aca="false">Margins!D47</f>
        <v>0.581664851414622</v>
      </c>
      <c r="E34" s="63" t="n">
        <f aca="false">Margins!E47</f>
        <v>0.554744598257181</v>
      </c>
      <c r="F34" s="63" t="n">
        <f aca="false">Margins!F47</f>
        <v>0.509503789088208</v>
      </c>
      <c r="G34" s="63" t="n">
        <f aca="false">Margins!G47</f>
        <v>0.559525118045417</v>
      </c>
      <c r="H34" s="63" t="n">
        <f aca="false">Margins!H47</f>
        <v>0.513677967265879</v>
      </c>
      <c r="I34" s="63" t="n">
        <f aca="false">Margins!I47</f>
        <v>0.537575481708867</v>
      </c>
      <c r="J34" s="63" t="n">
        <f aca="false">Margins!J47</f>
        <v>0.576229838161971</v>
      </c>
      <c r="K34" s="63" t="n">
        <f aca="false">Margins!K47</f>
        <v>0.544377823602347</v>
      </c>
      <c r="L34" s="63" t="n">
        <f aca="false">Margins!L47</f>
        <v>0.580845226883467</v>
      </c>
      <c r="M34" s="63" t="n">
        <f aca="false">Margins!M47</f>
        <v>0.629726899486175</v>
      </c>
      <c r="N34" s="63" t="n">
        <f aca="false">Margins!N47</f>
        <v>0.550044390514589</v>
      </c>
      <c r="O34" s="63" t="n">
        <f aca="false">Margins!O47</f>
        <v>0.554481611669885</v>
      </c>
      <c r="P34" s="63" t="n">
        <f aca="false">Margins!P47</f>
        <v>0.565973263311931</v>
      </c>
      <c r="Q34" s="63" t="n">
        <f aca="false">Margins!Q47</f>
        <v>0.547847596919561</v>
      </c>
      <c r="R34" s="63" t="n">
        <f aca="false">Margins!R47</f>
        <v>0.534234211511761</v>
      </c>
      <c r="S34" s="63" t="n">
        <f aca="false">Margins!S47</f>
        <v>0.634065164903059</v>
      </c>
      <c r="T34" s="63" t="n">
        <f aca="false">Margins!T47</f>
        <v>0.532208116287421</v>
      </c>
      <c r="U34" s="63" t="n">
        <f aca="false">Margins!U47</f>
        <v>0.539499692852894</v>
      </c>
      <c r="V34" s="63" t="n">
        <f aca="false">Margins!V47</f>
        <v>0.643228908769588</v>
      </c>
      <c r="W34" s="63" t="n">
        <f aca="false">Margins!W47</f>
        <v>0.555751457865509</v>
      </c>
      <c r="X34" s="63" t="n">
        <f aca="false">Margins!X47</f>
        <v>0.588881536844193</v>
      </c>
      <c r="Y34" s="63" t="n">
        <f aca="false">Margins!Y47</f>
        <v>0.594118355036938</v>
      </c>
      <c r="Z34" s="63" t="n">
        <f aca="false">Margins!Z47</f>
        <v>0.610588839461491</v>
      </c>
      <c r="AA34" s="63" t="n">
        <f aca="false">Margins!AA47</f>
        <v>0.587829062021203</v>
      </c>
      <c r="AB34" s="63" t="n">
        <f aca="false">Margins!AB47</f>
        <v>0.556596994392627</v>
      </c>
    </row>
    <row r="35" customFormat="false" ht="15" hidden="false" customHeight="false" outlineLevel="0" collapsed="false">
      <c r="A35" s="22" t="s">
        <v>375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customFormat="false" ht="15" hidden="false" customHeight="false" outlineLevel="0" collapsed="false">
      <c r="A36" s="28" t="s">
        <v>376</v>
      </c>
      <c r="B36" s="62" t="s">
        <v>53</v>
      </c>
      <c r="C36" s="66" t="n">
        <f aca="false">AVERAGE(E36:P36)</f>
        <v>0.8463000184299</v>
      </c>
      <c r="D36" s="66" t="n">
        <f aca="false">AVERAGE(Q36:AB36)</f>
        <v>0.85</v>
      </c>
      <c r="E36" s="63" t="n">
        <f aca="false">Usage_Compute!E25</f>
        <v>0.820369848790323</v>
      </c>
      <c r="F36" s="63" t="n">
        <f aca="false">Usage_Compute!F25</f>
        <v>0.849997626488095</v>
      </c>
      <c r="G36" s="63" t="n">
        <f aca="false">Usage_Compute!G25</f>
        <v>0.835220997983871</v>
      </c>
      <c r="H36" s="63" t="n">
        <f aca="false">Usage_Compute!H25</f>
        <v>0.850001238819445</v>
      </c>
      <c r="I36" s="63" t="n">
        <f aca="false">Usage_Compute!I25</f>
        <v>0.849998317204301</v>
      </c>
      <c r="J36" s="63" t="n">
        <f aca="false">Usage_Compute!J25</f>
        <v>0.849999639722222</v>
      </c>
      <c r="K36" s="63" t="n">
        <f aca="false">Usage_Compute!K25</f>
        <v>0.850004504771506</v>
      </c>
      <c r="L36" s="63" t="n">
        <f aca="false">Usage_Compute!L25</f>
        <v>0.850008047379032</v>
      </c>
      <c r="M36" s="63" t="n">
        <f aca="false">Usage_Compute!M25</f>
        <v>0.85</v>
      </c>
      <c r="N36" s="63" t="n">
        <f aca="false">Usage_Compute!N25</f>
        <v>0.85</v>
      </c>
      <c r="O36" s="63" t="n">
        <f aca="false">Usage_Compute!O25</f>
        <v>0.85</v>
      </c>
      <c r="P36" s="63" t="n">
        <f aca="false">Usage_Compute!P25</f>
        <v>0.85</v>
      </c>
      <c r="Q36" s="63" t="n">
        <f aca="false">Usage_Compute!Q25</f>
        <v>0.85</v>
      </c>
      <c r="R36" s="63" t="n">
        <f aca="false">Usage_Compute!R25</f>
        <v>0.85</v>
      </c>
      <c r="S36" s="63" t="n">
        <f aca="false">Usage_Compute!S25</f>
        <v>0.85</v>
      </c>
      <c r="T36" s="63" t="n">
        <f aca="false">Usage_Compute!T25</f>
        <v>0.85</v>
      </c>
      <c r="U36" s="63" t="n">
        <f aca="false">Usage_Compute!U25</f>
        <v>0.85</v>
      </c>
      <c r="V36" s="63" t="n">
        <f aca="false">Usage_Compute!V25</f>
        <v>0.85</v>
      </c>
      <c r="W36" s="63" t="n">
        <f aca="false">Usage_Compute!W25</f>
        <v>0.85</v>
      </c>
      <c r="X36" s="63" t="n">
        <f aca="false">Usage_Compute!X25</f>
        <v>0.85</v>
      </c>
      <c r="Y36" s="63" t="n">
        <f aca="false">Usage_Compute!Y25</f>
        <v>0.85</v>
      </c>
      <c r="Z36" s="63" t="n">
        <f aca="false">Usage_Compute!Z25</f>
        <v>0.85</v>
      </c>
      <c r="AA36" s="63" t="n">
        <f aca="false">Usage_Compute!AA25</f>
        <v>0.85</v>
      </c>
      <c r="AB36" s="63" t="n">
        <f aca="false">Usage_Compute!AB25</f>
        <v>0.85</v>
      </c>
    </row>
    <row r="37" customFormat="false" ht="15" hidden="false" customHeight="false" outlineLevel="0" collapsed="false">
      <c r="A37" s="28" t="s">
        <v>377</v>
      </c>
      <c r="B37" s="62" t="s">
        <v>53</v>
      </c>
      <c r="C37" s="64" t="n">
        <f aca="false">SUM(E37:P37)</f>
        <v>0</v>
      </c>
      <c r="D37" s="64" t="n">
        <f aca="false">SUM(Q37:AB37)</f>
        <v>0</v>
      </c>
      <c r="E37" s="65" t="n">
        <f aca="false">Usage_Compute!E22</f>
        <v>0</v>
      </c>
      <c r="F37" s="65" t="n">
        <f aca="false">Usage_Compute!F22</f>
        <v>0</v>
      </c>
      <c r="G37" s="65" t="n">
        <f aca="false">Usage_Compute!G22</f>
        <v>0</v>
      </c>
      <c r="H37" s="65" t="n">
        <f aca="false">Usage_Compute!H22</f>
        <v>0</v>
      </c>
      <c r="I37" s="65" t="n">
        <f aca="false">Usage_Compute!I22</f>
        <v>0</v>
      </c>
      <c r="J37" s="65" t="n">
        <f aca="false">Usage_Compute!J22</f>
        <v>0</v>
      </c>
      <c r="K37" s="65" t="n">
        <f aca="false">Usage_Compute!K22</f>
        <v>0</v>
      </c>
      <c r="L37" s="65" t="n">
        <f aca="false">Usage_Compute!L22</f>
        <v>0</v>
      </c>
      <c r="M37" s="65" t="n">
        <f aca="false">Usage_Compute!M22</f>
        <v>0</v>
      </c>
      <c r="N37" s="65" t="n">
        <f aca="false">Usage_Compute!N22</f>
        <v>0</v>
      </c>
      <c r="O37" s="65" t="n">
        <f aca="false">Usage_Compute!O22</f>
        <v>0</v>
      </c>
      <c r="P37" s="65" t="n">
        <f aca="false">Usage_Compute!P22</f>
        <v>0</v>
      </c>
      <c r="Q37" s="65" t="n">
        <f aca="false">Usage_Compute!Q22</f>
        <v>0</v>
      </c>
      <c r="R37" s="65" t="n">
        <f aca="false">Usage_Compute!R22</f>
        <v>0</v>
      </c>
      <c r="S37" s="65" t="n">
        <f aca="false">Usage_Compute!S22</f>
        <v>0</v>
      </c>
      <c r="T37" s="65" t="n">
        <f aca="false">Usage_Compute!T22</f>
        <v>0</v>
      </c>
      <c r="U37" s="65" t="n">
        <f aca="false">Usage_Compute!U22</f>
        <v>0</v>
      </c>
      <c r="V37" s="65" t="n">
        <f aca="false">Usage_Compute!V22</f>
        <v>0</v>
      </c>
      <c r="W37" s="65" t="n">
        <f aca="false">Usage_Compute!W22</f>
        <v>0</v>
      </c>
      <c r="X37" s="65" t="n">
        <f aca="false">Usage_Compute!X22</f>
        <v>0</v>
      </c>
      <c r="Y37" s="65" t="n">
        <f aca="false">Usage_Compute!Y22</f>
        <v>0</v>
      </c>
      <c r="Z37" s="65" t="n">
        <f aca="false">Usage_Compute!Z22</f>
        <v>0</v>
      </c>
      <c r="AA37" s="65" t="n">
        <f aca="false">Usage_Compute!AA22</f>
        <v>0</v>
      </c>
      <c r="AB37" s="65" t="n">
        <f aca="false">Usage_Compute!AB22</f>
        <v>0</v>
      </c>
    </row>
    <row r="38" customFormat="false" ht="15" hidden="false" customHeight="false" outlineLevel="0" collapsed="false">
      <c r="A38" s="28" t="s">
        <v>378</v>
      </c>
      <c r="B38" s="62" t="s">
        <v>55</v>
      </c>
      <c r="C38" s="66" t="n">
        <f aca="false">P38</f>
        <v>0.85447582380425</v>
      </c>
      <c r="D38" s="66" t="n">
        <f aca="false">AB38</f>
        <v>1.01962101150271</v>
      </c>
      <c r="E38" s="63" t="n">
        <f aca="false">Commitments!E13</f>
        <v>0.849458307692308</v>
      </c>
      <c r="F38" s="63" t="n">
        <f aca="false">Commitments!F13</f>
        <v>0.825776923076923</v>
      </c>
      <c r="G38" s="63" t="n">
        <f aca="false">Commitments!G13</f>
        <v>0.823019897435897</v>
      </c>
      <c r="H38" s="63" t="n">
        <f aca="false">Commitments!H13</f>
        <v>0.820480038461539</v>
      </c>
      <c r="I38" s="63" t="n">
        <f aca="false">Commitments!I13</f>
        <v>0.821136492307692</v>
      </c>
      <c r="J38" s="63" t="n">
        <f aca="false">Commitments!J13</f>
        <v>0.827303512820513</v>
      </c>
      <c r="K38" s="63" t="n">
        <f aca="false">Commitments!K13</f>
        <v>0.836414483516484</v>
      </c>
      <c r="L38" s="63" t="n">
        <f aca="false">Commitments!L13</f>
        <v>0.843724038461538</v>
      </c>
      <c r="M38" s="63" t="n">
        <f aca="false">Commitments!M13</f>
        <v>0.845509304729453</v>
      </c>
      <c r="N38" s="63" t="n">
        <f aca="false">Commitments!N13</f>
        <v>0.848543476487711</v>
      </c>
      <c r="O38" s="63" t="n">
        <f aca="false">Commitments!O13</f>
        <v>0.850896347007196</v>
      </c>
      <c r="P38" s="63" t="n">
        <f aca="false">Commitments!P13</f>
        <v>0.85447582380425</v>
      </c>
      <c r="Q38" s="63" t="n">
        <f aca="false">Commitments!Q13</f>
        <v>0.993511020900449</v>
      </c>
      <c r="R38" s="63" t="n">
        <f aca="false">Commitments!R13</f>
        <v>0.976499594542527</v>
      </c>
      <c r="S38" s="63" t="n">
        <f aca="false">Commitments!S13</f>
        <v>0.987959657321869</v>
      </c>
      <c r="T38" s="63" t="n">
        <f aca="false">Commitments!T13</f>
        <v>0.990878662100283</v>
      </c>
      <c r="U38" s="63" t="n">
        <f aca="false">Commitments!U13</f>
        <v>0.997353882931803</v>
      </c>
      <c r="V38" s="63" t="n">
        <f aca="false">Commitments!V13</f>
        <v>0.999862801309332</v>
      </c>
      <c r="W38" s="63" t="n">
        <f aca="false">Commitments!W13</f>
        <v>1.00416427989346</v>
      </c>
      <c r="X38" s="63" t="n">
        <f aca="false">Commitments!X13</f>
        <v>1.00784008086016</v>
      </c>
      <c r="Y38" s="63" t="n">
        <f aca="false">Commitments!Y13</f>
        <v>1.00993185180646</v>
      </c>
      <c r="Z38" s="63" t="n">
        <f aca="false">Commitments!Z13</f>
        <v>1.01366118886237</v>
      </c>
      <c r="AA38" s="63" t="n">
        <f aca="false">Commitments!AA13</f>
        <v>1.01598442528241</v>
      </c>
      <c r="AB38" s="63" t="n">
        <f aca="false">Commitments!AB13</f>
        <v>1.01962101150271</v>
      </c>
    </row>
    <row r="39" customFormat="false" ht="15" hidden="false" customHeight="false" outlineLevel="0" collapsed="false">
      <c r="A39" s="28" t="s">
        <v>379</v>
      </c>
      <c r="B39" s="62" t="s">
        <v>55</v>
      </c>
      <c r="C39" s="64" t="n">
        <f aca="false">P39</f>
        <v>113508.857432685</v>
      </c>
      <c r="D39" s="64" t="n">
        <f aca="false">AB39</f>
        <v>0</v>
      </c>
      <c r="E39" s="65" t="n">
        <f aca="false">Commitments!E12</f>
        <v>113508.857432685</v>
      </c>
      <c r="F39" s="65" t="n">
        <f aca="false">Commitments!F12</f>
        <v>113508.857432685</v>
      </c>
      <c r="G39" s="65" t="n">
        <f aca="false">Commitments!G12</f>
        <v>113508.857432685</v>
      </c>
      <c r="H39" s="65" t="n">
        <f aca="false">Commitments!H12</f>
        <v>113508.857432685</v>
      </c>
      <c r="I39" s="65" t="n">
        <f aca="false">Commitments!I12</f>
        <v>113508.857432685</v>
      </c>
      <c r="J39" s="65" t="n">
        <f aca="false">Commitments!J12</f>
        <v>113508.857432685</v>
      </c>
      <c r="K39" s="65" t="n">
        <f aca="false">Commitments!K12</f>
        <v>113508.857432685</v>
      </c>
      <c r="L39" s="65" t="n">
        <f aca="false">Commitments!L12</f>
        <v>113508.857432685</v>
      </c>
      <c r="M39" s="65" t="n">
        <f aca="false">Commitments!M12</f>
        <v>113508.857432685</v>
      </c>
      <c r="N39" s="65" t="n">
        <f aca="false">Commitments!N12</f>
        <v>113508.857432685</v>
      </c>
      <c r="O39" s="65" t="n">
        <f aca="false">Commitments!O12</f>
        <v>113508.857432685</v>
      </c>
      <c r="P39" s="65" t="n">
        <f aca="false">Commitments!P12</f>
        <v>113508.857432685</v>
      </c>
      <c r="Q39" s="65" t="n">
        <f aca="false">Commitments!Q12</f>
        <v>0</v>
      </c>
      <c r="R39" s="65" t="n">
        <f aca="false">Commitments!R12</f>
        <v>0</v>
      </c>
      <c r="S39" s="65" t="n">
        <f aca="false">Commitments!S12</f>
        <v>0</v>
      </c>
      <c r="T39" s="65" t="n">
        <f aca="false">Commitments!T12</f>
        <v>0</v>
      </c>
      <c r="U39" s="65" t="n">
        <f aca="false">Commitments!U12</f>
        <v>0</v>
      </c>
      <c r="V39" s="65" t="n">
        <f aca="false">Commitments!V12</f>
        <v>0</v>
      </c>
      <c r="W39" s="65" t="n">
        <f aca="false">Commitments!W12</f>
        <v>0</v>
      </c>
      <c r="X39" s="65" t="n">
        <f aca="false">Commitments!X12</f>
        <v>0</v>
      </c>
      <c r="Y39" s="65" t="n">
        <f aca="false">Commitments!Y12</f>
        <v>0</v>
      </c>
      <c r="Z39" s="65" t="n">
        <f aca="false">Commitments!Z12</f>
        <v>0</v>
      </c>
      <c r="AA39" s="65" t="n">
        <f aca="false">Commitments!AA12</f>
        <v>0</v>
      </c>
      <c r="AB39" s="65" t="n">
        <f aca="false">Commitments!AB12</f>
        <v>0</v>
      </c>
    </row>
    <row r="40" customFormat="false" ht="15" hidden="false" customHeight="false" outlineLevel="0" collapsed="false">
      <c r="A40" s="28" t="s">
        <v>380</v>
      </c>
      <c r="B40" s="62" t="s">
        <v>53</v>
      </c>
      <c r="C40" s="66" t="n">
        <f aca="false">Usage_Compute!C50</f>
        <v>0.342070024580156</v>
      </c>
      <c r="D40" s="66" t="n">
        <f aca="false">Usage_Compute!D50</f>
        <v>0.343692754646579</v>
      </c>
      <c r="E40" s="63" t="n">
        <f aca="false">Usage_Compute!E50</f>
        <v>0.355319858787564</v>
      </c>
      <c r="F40" s="63" t="n">
        <f aca="false">Usage_Compute!F50</f>
        <v>0.335388869304672</v>
      </c>
      <c r="G40" s="63" t="n">
        <f aca="false">Usage_Compute!G50</f>
        <v>0.343974814411973</v>
      </c>
      <c r="H40" s="63" t="n">
        <f aca="false">Usage_Compute!H50</f>
        <v>0.34136609681862</v>
      </c>
      <c r="I40" s="63" t="n">
        <f aca="false">Usage_Compute!I50</f>
        <v>0.326901264862151</v>
      </c>
      <c r="J40" s="63" t="n">
        <f aca="false">Usage_Compute!J50</f>
        <v>0.339476136483186</v>
      </c>
      <c r="K40" s="63" t="n">
        <f aca="false">Usage_Compute!K50</f>
        <v>0.328812062786466</v>
      </c>
      <c r="L40" s="63" t="n">
        <f aca="false">Usage_Compute!L50</f>
        <v>0.326287603856161</v>
      </c>
      <c r="M40" s="63" t="n">
        <f aca="false">Usage_Compute!M50</f>
        <v>0.31562746543432</v>
      </c>
      <c r="N40" s="63" t="n">
        <f aca="false">Usage_Compute!N50</f>
        <v>0.373232909046115</v>
      </c>
      <c r="O40" s="63" t="n">
        <f aca="false">Usage_Compute!O50</f>
        <v>0.364155255698355</v>
      </c>
      <c r="P40" s="63" t="n">
        <f aca="false">Usage_Compute!P50</f>
        <v>0.362559220704141</v>
      </c>
      <c r="Q40" s="63" t="n">
        <f aca="false">Usage_Compute!Q50</f>
        <v>0.363114553419424</v>
      </c>
      <c r="R40" s="63" t="n">
        <f aca="false">Usage_Compute!R50</f>
        <v>0.348916437862957</v>
      </c>
      <c r="S40" s="63" t="n">
        <f aca="false">Usage_Compute!S50</f>
        <v>0.353525591591052</v>
      </c>
      <c r="T40" s="63" t="n">
        <f aca="false">Usage_Compute!T50</f>
        <v>0.349033552514646</v>
      </c>
      <c r="U40" s="63" t="n">
        <f aca="false">Usage_Compute!U50</f>
        <v>0.34741593588547</v>
      </c>
      <c r="V40" s="63" t="n">
        <f aca="false">Usage_Compute!V50</f>
        <v>0.342505670633594</v>
      </c>
      <c r="W40" s="63" t="n">
        <f aca="false">Usage_Compute!W50</f>
        <v>0.344168065727385</v>
      </c>
      <c r="X40" s="63" t="n">
        <f aca="false">Usage_Compute!X50</f>
        <v>0.342735825974759</v>
      </c>
      <c r="Y40" s="63" t="n">
        <f aca="false">Usage_Compute!Y50</f>
        <v>0.336916899342485</v>
      </c>
      <c r="Z40" s="63" t="n">
        <f aca="false">Usage_Compute!Z50</f>
        <v>0.337036164347496</v>
      </c>
      <c r="AA40" s="63" t="n">
        <f aca="false">Usage_Compute!AA50</f>
        <v>0.331556755646171</v>
      </c>
      <c r="AB40" s="63" t="n">
        <f aca="false">Usage_Compute!AB50</f>
        <v>0.331932785639959</v>
      </c>
    </row>
    <row r="41" customFormat="false" ht="15" hidden="false" customHeight="false" outlineLevel="0" collapsed="false">
      <c r="A41" s="28" t="s">
        <v>381</v>
      </c>
      <c r="B41" s="62" t="s">
        <v>53</v>
      </c>
      <c r="C41" s="66" t="n">
        <f aca="false">Usage_Compute!C51</f>
        <v>0.590719230189377</v>
      </c>
      <c r="D41" s="66" t="n">
        <f aca="false">Usage_Compute!D51</f>
        <v>0.575240853061302</v>
      </c>
      <c r="E41" s="63" t="n">
        <f aca="false">Usage_Compute!E51</f>
        <v>0.582950215881358</v>
      </c>
      <c r="F41" s="63" t="n">
        <f aca="false">Usage_Compute!F51</f>
        <v>0.600498691657347</v>
      </c>
      <c r="G41" s="63" t="n">
        <f aca="false">Usage_Compute!G51</f>
        <v>0.595917288651854</v>
      </c>
      <c r="H41" s="63" t="n">
        <f aca="false">Usage_Compute!H51</f>
        <v>0.591820575376608</v>
      </c>
      <c r="I41" s="63" t="n">
        <f aca="false">Usage_Compute!I51</f>
        <v>0.608929405929515</v>
      </c>
      <c r="J41" s="63" t="n">
        <f aca="false">Usage_Compute!J51</f>
        <v>0.595752973154853</v>
      </c>
      <c r="K41" s="63" t="n">
        <f aca="false">Usage_Compute!K51</f>
        <v>0.60738266205601</v>
      </c>
      <c r="L41" s="63" t="n">
        <f aca="false">Usage_Compute!L51</f>
        <v>0.609521141741836</v>
      </c>
      <c r="M41" s="63" t="n">
        <f aca="false">Usage_Compute!M51</f>
        <v>0.619641229851918</v>
      </c>
      <c r="N41" s="63" t="n">
        <f aca="false">Usage_Compute!N51</f>
        <v>0.550331926880338</v>
      </c>
      <c r="O41" s="63" t="n">
        <f aca="false">Usage_Compute!O51</f>
        <v>0.557917390290513</v>
      </c>
      <c r="P41" s="63" t="n">
        <f aca="false">Usage_Compute!P51</f>
        <v>0.558814447085275</v>
      </c>
      <c r="Q41" s="63" t="n">
        <f aca="false">Usage_Compute!Q51</f>
        <v>0.558242608891113</v>
      </c>
      <c r="R41" s="63" t="n">
        <f aca="false">Usage_Compute!R51</f>
        <v>0.570660928388472</v>
      </c>
      <c r="S41" s="63" t="n">
        <f aca="false">Usage_Compute!S51</f>
        <v>0.567049008003375</v>
      </c>
      <c r="T41" s="63" t="n">
        <f aca="false">Usage_Compute!T51</f>
        <v>0.570812852666901</v>
      </c>
      <c r="U41" s="63" t="n">
        <f aca="false">Usage_Compute!U51</f>
        <v>0.572156236016442</v>
      </c>
      <c r="V41" s="63" t="n">
        <f aca="false">Usage_Compute!V51</f>
        <v>0.576640429520328</v>
      </c>
      <c r="W41" s="63" t="n">
        <f aca="false">Usage_Compute!W51</f>
        <v>0.574946767787259</v>
      </c>
      <c r="X41" s="63" t="n">
        <f aca="false">Usage_Compute!X51</f>
        <v>0.576074431355927</v>
      </c>
      <c r="Y41" s="63" t="n">
        <f aca="false">Usage_Compute!Y51</f>
        <v>0.580794819577653</v>
      </c>
      <c r="Z41" s="63" t="n">
        <f aca="false">Usage_Compute!Z51</f>
        <v>0.580809287572238</v>
      </c>
      <c r="AA41" s="63" t="n">
        <f aca="false">Usage_Compute!AA51</f>
        <v>0.585571515472395</v>
      </c>
      <c r="AB41" s="63" t="n">
        <f aca="false">Usage_Compute!AB51</f>
        <v>0.585239043534078</v>
      </c>
    </row>
    <row r="42" customFormat="false" ht="15" hidden="false" customHeight="false" outlineLevel="0" collapsed="false">
      <c r="A42" s="28" t="s">
        <v>382</v>
      </c>
      <c r="B42" s="62" t="s">
        <v>53</v>
      </c>
      <c r="C42" s="66" t="n">
        <f aca="false">Usage_Compute!C53</f>
        <v>0.564858294560617</v>
      </c>
      <c r="D42" s="66" t="n">
        <f aca="false">Usage_Compute!D53</f>
        <v>0.562503703950167</v>
      </c>
      <c r="E42" s="63" t="n">
        <f aca="false">Usage_Compute!E53</f>
        <v>0.560512465690418</v>
      </c>
      <c r="F42" s="63" t="n">
        <f aca="false">Usage_Compute!F53</f>
        <v>0.569547757655629</v>
      </c>
      <c r="G42" s="63" t="n">
        <f aca="false">Usage_Compute!G53</f>
        <v>0.576538204158614</v>
      </c>
      <c r="H42" s="63" t="n">
        <f aca="false">Usage_Compute!H53</f>
        <v>0.559617270111499</v>
      </c>
      <c r="I42" s="63" t="n">
        <f aca="false">Usage_Compute!I53</f>
        <v>0.562535349835453</v>
      </c>
      <c r="J42" s="63" t="n">
        <f aca="false">Usage_Compute!J53</f>
        <v>0.554352993280816</v>
      </c>
      <c r="K42" s="63" t="n">
        <f aca="false">Usage_Compute!K53</f>
        <v>0.574212443041235</v>
      </c>
      <c r="L42" s="63" t="n">
        <f aca="false">Usage_Compute!L53</f>
        <v>0.586132947506421</v>
      </c>
      <c r="M42" s="63" t="n">
        <f aca="false">Usage_Compute!M53</f>
        <v>0.541579160063812</v>
      </c>
      <c r="N42" s="63" t="n">
        <f aca="false">Usage_Compute!N53</f>
        <v>0.567046834717258</v>
      </c>
      <c r="O42" s="63" t="n">
        <f aca="false">Usage_Compute!O53</f>
        <v>0.565690911272444</v>
      </c>
      <c r="P42" s="63" t="n">
        <f aca="false">Usage_Compute!P53</f>
        <v>0.564610973963746</v>
      </c>
      <c r="Q42" s="63" t="n">
        <f aca="false">Usage_Compute!Q53</f>
        <v>0.559786048733785</v>
      </c>
      <c r="R42" s="63" t="n">
        <f aca="false">Usage_Compute!R53</f>
        <v>0.563645602539741</v>
      </c>
      <c r="S42" s="63" t="n">
        <f aca="false">Usage_Compute!S53</f>
        <v>0.554468268960627</v>
      </c>
      <c r="T42" s="63" t="n">
        <f aca="false">Usage_Compute!T53</f>
        <v>0.564204268301158</v>
      </c>
      <c r="U42" s="63" t="n">
        <f aca="false">Usage_Compute!U53</f>
        <v>0.563545691554595</v>
      </c>
      <c r="V42" s="63" t="n">
        <f aca="false">Usage_Compute!V53</f>
        <v>0.588303890940016</v>
      </c>
      <c r="W42" s="63" t="n">
        <f aca="false">Usage_Compute!W53</f>
        <v>0.563588823488445</v>
      </c>
      <c r="X42" s="63" t="n">
        <f aca="false">Usage_Compute!X53</f>
        <v>0.568021784823411</v>
      </c>
      <c r="Y42" s="63" t="n">
        <f aca="false">Usage_Compute!Y53</f>
        <v>0.551458620804418</v>
      </c>
      <c r="Z42" s="63" t="n">
        <f aca="false">Usage_Compute!Z53</f>
        <v>0.557041737093621</v>
      </c>
      <c r="AA42" s="63" t="n">
        <f aca="false">Usage_Compute!AA53</f>
        <v>0.553695202356608</v>
      </c>
      <c r="AB42" s="63" t="n">
        <f aca="false">Usage_Compute!AB53</f>
        <v>0.56196310914005</v>
      </c>
    </row>
    <row r="43" customFormat="false" ht="15" hidden="false" customHeight="false" outlineLevel="0" collapsed="false">
      <c r="A43" s="22" t="s">
        <v>383</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customFormat="false" ht="15" hidden="false" customHeight="false" outlineLevel="0" collapsed="false">
      <c r="A44" s="58" t="s">
        <v>384</v>
      </c>
      <c r="B44" s="59" t="s">
        <v>33</v>
      </c>
      <c r="C44" s="60" t="n">
        <f aca="false">P44</f>
        <v>7793186.71369928</v>
      </c>
      <c r="D44" s="60" t="n">
        <f aca="false">AB44</f>
        <v>3525929.54743888</v>
      </c>
      <c r="E44" s="61" t="n">
        <f aca="false">BS!E9</f>
        <v>11693806.8483333</v>
      </c>
      <c r="F44" s="61" t="n">
        <f aca="false">BS!F9</f>
        <v>11333821.8783333</v>
      </c>
      <c r="G44" s="61" t="n">
        <f aca="false">BS!G9</f>
        <v>10916994.5140333</v>
      </c>
      <c r="H44" s="61" t="n">
        <f aca="false">BS!H9</f>
        <v>10274323.7440333</v>
      </c>
      <c r="I44" s="61" t="n">
        <f aca="false">BS!I9</f>
        <v>9846282.76743333</v>
      </c>
      <c r="J44" s="61" t="n">
        <f aca="false">BS!J9</f>
        <v>9444647.25743333</v>
      </c>
      <c r="K44" s="61" t="n">
        <f aca="false">BS!K9</f>
        <v>9747127.25313333</v>
      </c>
      <c r="L44" s="61" t="n">
        <f aca="false">BS!L9</f>
        <v>9337248.92233333</v>
      </c>
      <c r="M44" s="61" t="n">
        <f aca="false">BS!M9</f>
        <v>9025696.82675901</v>
      </c>
      <c r="N44" s="61" t="n">
        <f aca="false">BS!N9</f>
        <v>8475238.80494082</v>
      </c>
      <c r="O44" s="61" t="n">
        <f aca="false">BS!O9</f>
        <v>8100523.80613852</v>
      </c>
      <c r="P44" s="61" t="n">
        <f aca="false">BS!P9</f>
        <v>7793186.71369928</v>
      </c>
      <c r="Q44" s="61" t="n">
        <f aca="false">BS!Q9</f>
        <v>7165216.97392281</v>
      </c>
      <c r="R44" s="61" t="n">
        <f aca="false">BS!R9</f>
        <v>6741811.80041374</v>
      </c>
      <c r="S44" s="61" t="n">
        <f aca="false">BS!S9</f>
        <v>6422907.3298301</v>
      </c>
      <c r="T44" s="61" t="n">
        <f aca="false">BS!T9</f>
        <v>5824644.84019085</v>
      </c>
      <c r="U44" s="61" t="n">
        <f aca="false">BS!U9</f>
        <v>5441715.23954591</v>
      </c>
      <c r="V44" s="61" t="n">
        <f aca="false">BS!V9</f>
        <v>5127276.2256736</v>
      </c>
      <c r="W44" s="61" t="n">
        <f aca="false">BS!W9</f>
        <v>4550636.65590596</v>
      </c>
      <c r="X44" s="61" t="n">
        <f aca="false">BS!X9</f>
        <v>4071791.31864774</v>
      </c>
      <c r="Y44" s="61" t="n">
        <f aca="false">BS!Y9</f>
        <v>4853555.43605598</v>
      </c>
      <c r="Z44" s="61" t="n">
        <f aca="false">BS!Z9</f>
        <v>4295933.0927108</v>
      </c>
      <c r="AA44" s="61" t="n">
        <f aca="false">BS!AA9</f>
        <v>3884170.29165767</v>
      </c>
      <c r="AB44" s="61" t="n">
        <f aca="false">BS!AB9</f>
        <v>3525929.54743888</v>
      </c>
    </row>
    <row r="45" customFormat="false" ht="15" hidden="false" customHeight="false" outlineLevel="0" collapsed="false">
      <c r="A45" s="28" t="s">
        <v>385</v>
      </c>
      <c r="B45" s="62" t="s">
        <v>86</v>
      </c>
      <c r="C45" s="64" t="n">
        <f aca="false">P45</f>
        <v>3000000</v>
      </c>
      <c r="D45" s="64" t="n">
        <f aca="false">AB45</f>
        <v>3000000</v>
      </c>
      <c r="E45" s="65" t="n">
        <f aca="false">Assumptions!$C$13</f>
        <v>3000000</v>
      </c>
      <c r="F45" s="65" t="n">
        <f aca="false">Assumptions!$C$13</f>
        <v>3000000</v>
      </c>
      <c r="G45" s="65" t="n">
        <f aca="false">Assumptions!$C$13</f>
        <v>3000000</v>
      </c>
      <c r="H45" s="65" t="n">
        <f aca="false">Assumptions!$C$13</f>
        <v>3000000</v>
      </c>
      <c r="I45" s="65" t="n">
        <f aca="false">Assumptions!$C$13</f>
        <v>3000000</v>
      </c>
      <c r="J45" s="65" t="n">
        <f aca="false">Assumptions!$C$13</f>
        <v>3000000</v>
      </c>
      <c r="K45" s="65" t="n">
        <f aca="false">Assumptions!$C$13</f>
        <v>3000000</v>
      </c>
      <c r="L45" s="65" t="n">
        <f aca="false">Assumptions!$C$13</f>
        <v>3000000</v>
      </c>
      <c r="M45" s="65" t="n">
        <f aca="false">Assumptions!$C$13</f>
        <v>3000000</v>
      </c>
      <c r="N45" s="65" t="n">
        <f aca="false">Assumptions!$C$13</f>
        <v>3000000</v>
      </c>
      <c r="O45" s="65" t="n">
        <f aca="false">Assumptions!$C$13</f>
        <v>3000000</v>
      </c>
      <c r="P45" s="65" t="n">
        <f aca="false">Assumptions!$C$13</f>
        <v>3000000</v>
      </c>
      <c r="Q45" s="65" t="n">
        <f aca="false">Assumptions!$C$13</f>
        <v>3000000</v>
      </c>
      <c r="R45" s="65" t="n">
        <f aca="false">Assumptions!$C$13</f>
        <v>3000000</v>
      </c>
      <c r="S45" s="65" t="n">
        <f aca="false">Assumptions!$C$13</f>
        <v>3000000</v>
      </c>
      <c r="T45" s="65" t="n">
        <f aca="false">Assumptions!$C$13</f>
        <v>3000000</v>
      </c>
      <c r="U45" s="65" t="n">
        <f aca="false">Assumptions!$C$13</f>
        <v>3000000</v>
      </c>
      <c r="V45" s="65" t="n">
        <f aca="false">Assumptions!$C$13</f>
        <v>3000000</v>
      </c>
      <c r="W45" s="65" t="n">
        <f aca="false">Assumptions!$C$13</f>
        <v>3000000</v>
      </c>
      <c r="X45" s="65" t="n">
        <f aca="false">Assumptions!$C$13</f>
        <v>3000000</v>
      </c>
      <c r="Y45" s="65" t="n">
        <f aca="false">Assumptions!$C$13</f>
        <v>3000000</v>
      </c>
      <c r="Z45" s="65" t="n">
        <f aca="false">Assumptions!$C$13</f>
        <v>3000000</v>
      </c>
      <c r="AA45" s="65" t="n">
        <f aca="false">Assumptions!$C$13</f>
        <v>3000000</v>
      </c>
      <c r="AB45" s="65" t="n">
        <f aca="false">Assumptions!$C$13</f>
        <v>3000000</v>
      </c>
    </row>
    <row r="46" customFormat="false" ht="15" hidden="false" customHeight="false" outlineLevel="0" collapsed="false">
      <c r="A46" s="28" t="s">
        <v>386</v>
      </c>
      <c r="B46" s="62"/>
      <c r="C46" s="64" t="n">
        <f aca="false">P46</f>
        <v>4793186.71369928</v>
      </c>
      <c r="D46" s="64" t="n">
        <f aca="false">AB46</f>
        <v>525929.547438884</v>
      </c>
      <c r="E46" s="73" t="n">
        <f aca="false">E44-E45</f>
        <v>8693806.84833333</v>
      </c>
      <c r="F46" s="73" t="n">
        <f aca="false">F44-F45</f>
        <v>8333821.87833333</v>
      </c>
      <c r="G46" s="73" t="n">
        <f aca="false">G44-G45</f>
        <v>7916994.51403333</v>
      </c>
      <c r="H46" s="73" t="n">
        <f aca="false">H44-H45</f>
        <v>7274323.74403333</v>
      </c>
      <c r="I46" s="73" t="n">
        <f aca="false">I44-I45</f>
        <v>6846282.76743333</v>
      </c>
      <c r="J46" s="73" t="n">
        <f aca="false">J44-J45</f>
        <v>6444647.25743333</v>
      </c>
      <c r="K46" s="73" t="n">
        <f aca="false">K44-K45</f>
        <v>6747127.25313333</v>
      </c>
      <c r="L46" s="73" t="n">
        <f aca="false">L44-L45</f>
        <v>6337248.92233333</v>
      </c>
      <c r="M46" s="73" t="n">
        <f aca="false">M44-M45</f>
        <v>6025696.82675901</v>
      </c>
      <c r="N46" s="73" t="n">
        <f aca="false">N44-N45</f>
        <v>5475238.80494082</v>
      </c>
      <c r="O46" s="73" t="n">
        <f aca="false">O44-O45</f>
        <v>5100523.80613852</v>
      </c>
      <c r="P46" s="73" t="n">
        <f aca="false">P44-P45</f>
        <v>4793186.71369928</v>
      </c>
      <c r="Q46" s="73" t="n">
        <f aca="false">Q44-Q45</f>
        <v>4165216.97392281</v>
      </c>
      <c r="R46" s="73" t="n">
        <f aca="false">R44-R45</f>
        <v>3741811.80041374</v>
      </c>
      <c r="S46" s="73" t="n">
        <f aca="false">S44-S45</f>
        <v>3422907.3298301</v>
      </c>
      <c r="T46" s="73" t="n">
        <f aca="false">T44-T45</f>
        <v>2824644.84019085</v>
      </c>
      <c r="U46" s="73" t="n">
        <f aca="false">U44-U45</f>
        <v>2441715.23954591</v>
      </c>
      <c r="V46" s="73" t="n">
        <f aca="false">V44-V45</f>
        <v>2127276.2256736</v>
      </c>
      <c r="W46" s="73" t="n">
        <f aca="false">W44-W45</f>
        <v>1550636.65590595</v>
      </c>
      <c r="X46" s="73" t="n">
        <f aca="false">X44-X45</f>
        <v>1071791.31864774</v>
      </c>
      <c r="Y46" s="73" t="n">
        <f aca="false">Y44-Y45</f>
        <v>1853555.43605598</v>
      </c>
      <c r="Z46" s="73" t="n">
        <f aca="false">Z44-Z45</f>
        <v>1295933.0927108</v>
      </c>
      <c r="AA46" s="73" t="n">
        <f aca="false">AA44-AA45</f>
        <v>884170.291657671</v>
      </c>
      <c r="AB46" s="73" t="n">
        <f aca="false">AB44-AB45</f>
        <v>525929.547438884</v>
      </c>
    </row>
    <row r="47" customFormat="false" ht="15" hidden="false" customHeight="false" outlineLevel="0" collapsed="false">
      <c r="A47" s="28" t="s">
        <v>387</v>
      </c>
      <c r="B47" s="62" t="s">
        <v>35</v>
      </c>
      <c r="C47" s="64" t="n">
        <f aca="false">SUM(E47:P47)</f>
        <v>4406813.28630072</v>
      </c>
      <c r="D47" s="64" t="n">
        <f aca="false">SUM(Q47:AB47)</f>
        <v>4267257.1662604</v>
      </c>
      <c r="E47" s="65" t="n">
        <f aca="false">CF!E31</f>
        <v>506193.151666667</v>
      </c>
      <c r="F47" s="65" t="n">
        <f aca="false">CF!F31</f>
        <v>359984.97</v>
      </c>
      <c r="G47" s="65" t="n">
        <f aca="false">CF!G31</f>
        <v>416827.3643</v>
      </c>
      <c r="H47" s="65" t="n">
        <f aca="false">CF!H31</f>
        <v>642670.77</v>
      </c>
      <c r="I47" s="65" t="n">
        <f aca="false">CF!I31</f>
        <v>428040.9766</v>
      </c>
      <c r="J47" s="65" t="n">
        <f aca="false">CF!J31</f>
        <v>401635.51</v>
      </c>
      <c r="K47" s="65" t="n">
        <f aca="false">CF!K31</f>
        <v>-302479.9957</v>
      </c>
      <c r="L47" s="65" t="n">
        <f aca="false">CF!L31</f>
        <v>409878.3308</v>
      </c>
      <c r="M47" s="65" t="n">
        <f aca="false">CF!M31</f>
        <v>311552.095574322</v>
      </c>
      <c r="N47" s="65" t="n">
        <f aca="false">CF!N31</f>
        <v>550458.021818192</v>
      </c>
      <c r="O47" s="65" t="n">
        <f aca="false">CF!O31</f>
        <v>374714.9988023</v>
      </c>
      <c r="P47" s="65" t="n">
        <f aca="false">CF!P31</f>
        <v>307337.092439237</v>
      </c>
      <c r="Q47" s="65" t="n">
        <f aca="false">CF!Q31</f>
        <v>627969.739776473</v>
      </c>
      <c r="R47" s="65" t="n">
        <f aca="false">CF!R31</f>
        <v>423405.173509064</v>
      </c>
      <c r="S47" s="65" t="n">
        <f aca="false">CF!S31</f>
        <v>318904.47058364</v>
      </c>
      <c r="T47" s="65" t="n">
        <f aca="false">CF!T31</f>
        <v>598262.489639251</v>
      </c>
      <c r="U47" s="65" t="n">
        <f aca="false">CF!U31</f>
        <v>382929.600644943</v>
      </c>
      <c r="V47" s="65" t="n">
        <f aca="false">CF!V31</f>
        <v>314439.013872308</v>
      </c>
      <c r="W47" s="65" t="n">
        <f aca="false">CF!W31</f>
        <v>576639.56976765</v>
      </c>
      <c r="X47" s="65" t="n">
        <f aca="false">CF!X31</f>
        <v>478845.337258216</v>
      </c>
      <c r="Y47" s="65" t="n">
        <f aca="false">CF!Y31</f>
        <v>-781764.117408241</v>
      </c>
      <c r="Z47" s="65" t="n">
        <f aca="false">CF!Z31</f>
        <v>557622.343345176</v>
      </c>
      <c r="AA47" s="65" t="n">
        <f aca="false">CF!AA31</f>
        <v>411762.801053133</v>
      </c>
      <c r="AB47" s="65" t="n">
        <f aca="false">CF!AB31</f>
        <v>358240.744218787</v>
      </c>
    </row>
    <row r="48" customFormat="false" ht="15" hidden="false" customHeight="false" outlineLevel="0" collapsed="false">
      <c r="A48" s="28" t="s">
        <v>388</v>
      </c>
      <c r="B48" s="62" t="s">
        <v>35</v>
      </c>
      <c r="C48" s="64" t="n">
        <f aca="false">P48</f>
        <v>410836.704353243</v>
      </c>
      <c r="D48" s="64" t="n">
        <f aca="false">AB48</f>
        <v>442541.962872365</v>
      </c>
      <c r="E48" s="73" t="n">
        <f aca="false">AVERAGE(E47:E47)</f>
        <v>506193.151666667</v>
      </c>
      <c r="F48" s="73" t="n">
        <f aca="false">AVERAGE(E47:F47)</f>
        <v>433089.060833333</v>
      </c>
      <c r="G48" s="73" t="n">
        <f aca="false">AVERAGE(E47:G47)</f>
        <v>427668.495322222</v>
      </c>
      <c r="H48" s="73" t="n">
        <f aca="false">AVERAGE(F47:H47)</f>
        <v>473161.034766667</v>
      </c>
      <c r="I48" s="73" t="n">
        <f aca="false">AVERAGE(G47:I47)</f>
        <v>495846.3703</v>
      </c>
      <c r="J48" s="73" t="n">
        <f aca="false">AVERAGE(H47:J47)</f>
        <v>490782.418866667</v>
      </c>
      <c r="K48" s="73" t="n">
        <f aca="false">AVERAGE(I47:K47)</f>
        <v>175732.163633333</v>
      </c>
      <c r="L48" s="73" t="n">
        <f aca="false">AVERAGE(J47:L47)</f>
        <v>169677.948366667</v>
      </c>
      <c r="M48" s="73" t="n">
        <f aca="false">AVERAGE(K47:M47)</f>
        <v>139650.143558108</v>
      </c>
      <c r="N48" s="73" t="n">
        <f aca="false">AVERAGE(L47:N47)</f>
        <v>423962.816064171</v>
      </c>
      <c r="O48" s="73" t="n">
        <f aca="false">AVERAGE(M47:O47)</f>
        <v>412241.705398271</v>
      </c>
      <c r="P48" s="73" t="n">
        <f aca="false">AVERAGE(N47:P47)</f>
        <v>410836.704353243</v>
      </c>
      <c r="Q48" s="73" t="n">
        <f aca="false">AVERAGE(O47:Q47)</f>
        <v>436673.94367267</v>
      </c>
      <c r="R48" s="73" t="n">
        <f aca="false">AVERAGE(P47:R47)</f>
        <v>452904.001908258</v>
      </c>
      <c r="S48" s="73" t="n">
        <f aca="false">AVERAGE(Q47:S47)</f>
        <v>456759.794623059</v>
      </c>
      <c r="T48" s="73" t="n">
        <f aca="false">AVERAGE(R47:T47)</f>
        <v>446857.377910652</v>
      </c>
      <c r="U48" s="73" t="n">
        <f aca="false">AVERAGE(S47:U47)</f>
        <v>433365.520289278</v>
      </c>
      <c r="V48" s="73" t="n">
        <f aca="false">AVERAGE(T47:V47)</f>
        <v>431877.034718834</v>
      </c>
      <c r="W48" s="73" t="n">
        <f aca="false">AVERAGE(U47:W47)</f>
        <v>424669.394761633</v>
      </c>
      <c r="X48" s="73" t="n">
        <f aca="false">AVERAGE(V47:X47)</f>
        <v>456641.306966058</v>
      </c>
      <c r="Y48" s="73" t="n">
        <f aca="false">AVERAGE(W47:Y47)</f>
        <v>91240.2632058748</v>
      </c>
      <c r="Z48" s="73" t="n">
        <f aca="false">AVERAGE(X47:Z47)</f>
        <v>84901.1877317169</v>
      </c>
      <c r="AA48" s="73" t="n">
        <f aca="false">AVERAGE(Y47:AA47)</f>
        <v>62540.3423300225</v>
      </c>
      <c r="AB48" s="73" t="n">
        <f aca="false">AVERAGE(Z47:AB47)</f>
        <v>442541.962872365</v>
      </c>
    </row>
    <row r="49" customFormat="false" ht="15" hidden="false" customHeight="false" outlineLevel="0" collapsed="false">
      <c r="A49" s="58" t="s">
        <v>389</v>
      </c>
      <c r="B49" s="59"/>
      <c r="C49" s="74" t="n">
        <f aca="false">P49</f>
        <v>11.6668901851039</v>
      </c>
      <c r="D49" s="74" t="n">
        <f aca="false">AB49</f>
        <v>1.18842864985115</v>
      </c>
      <c r="E49" s="74" t="n">
        <f aca="false">IF(E48&lt;=0,60,MIN(60,MAX(0,E46/E48)))</f>
        <v>17.1748804180944</v>
      </c>
      <c r="F49" s="74" t="n">
        <f aca="false">IF(F48&lt;=0,60,MIN(60,MAX(0,F46/F48)))</f>
        <v>19.2427438880532</v>
      </c>
      <c r="G49" s="74" t="n">
        <f aca="false">IF(G48&lt;=0,60,MIN(60,MAX(0,G46/G48)))</f>
        <v>18.51198907712</v>
      </c>
      <c r="H49" s="74" t="n">
        <f aca="false">IF(H48&lt;=0,60,MIN(60,MAX(0,H46/H48)))</f>
        <v>15.373885864504</v>
      </c>
      <c r="I49" s="74" t="n">
        <f aca="false">IF(I48&lt;=0,60,MIN(60,MAX(0,I46/I48)))</f>
        <v>13.8072660757628</v>
      </c>
      <c r="J49" s="74" t="n">
        <f aca="false">IF(J48&lt;=0,60,MIN(60,MAX(0,J46/J48)))</f>
        <v>13.1313735164262</v>
      </c>
      <c r="K49" s="74" t="n">
        <f aca="false">IF(K48&lt;=0,60,MIN(60,MAX(0,K46/K48)))</f>
        <v>38.394378772979</v>
      </c>
      <c r="L49" s="74" t="n">
        <f aca="false">IF(L48&lt;=0,60,MIN(60,MAX(0,L46/L48)))</f>
        <v>37.3486889919179</v>
      </c>
      <c r="M49" s="74" t="n">
        <f aca="false">IF(M48&lt;=0,60,MIN(60,MAX(0,M46/M48)))</f>
        <v>43.1485186712447</v>
      </c>
      <c r="N49" s="74" t="n">
        <f aca="false">IF(N48&lt;=0,60,MIN(60,MAX(0,N46/N48)))</f>
        <v>12.9144316375898</v>
      </c>
      <c r="O49" s="74" t="n">
        <f aca="false">IF(O48&lt;=0,60,MIN(60,MAX(0,O46/O48)))</f>
        <v>12.3726535654874</v>
      </c>
      <c r="P49" s="74" t="n">
        <f aca="false">IF(P48&lt;=0,60,MIN(60,MAX(0,P46/P48)))</f>
        <v>11.6668901851039</v>
      </c>
      <c r="Q49" s="74" t="n">
        <f aca="false">IF(Q48&lt;=0,60,MIN(60,MAX(0,Q46/Q48)))</f>
        <v>9.5385058675382</v>
      </c>
      <c r="R49" s="74" t="n">
        <f aca="false">IF(R48&lt;=0,60,MIN(60,MAX(0,R46/R48)))</f>
        <v>8.26182101427247</v>
      </c>
      <c r="S49" s="74" t="n">
        <f aca="false">IF(S48&lt;=0,60,MIN(60,MAX(0,S46/S48)))</f>
        <v>7.49388928299799</v>
      </c>
      <c r="T49" s="74" t="n">
        <f aca="false">IF(T48&lt;=0,60,MIN(60,MAX(0,T46/T48)))</f>
        <v>6.32113282631228</v>
      </c>
      <c r="U49" s="74" t="n">
        <f aca="false">IF(U48&lt;=0,60,MIN(60,MAX(0,U46/U48)))</f>
        <v>5.63430897297974</v>
      </c>
      <c r="V49" s="74" t="n">
        <f aca="false">IF(V48&lt;=0,60,MIN(60,MAX(0,V46/V48)))</f>
        <v>4.9256525692748</v>
      </c>
      <c r="W49" s="74" t="n">
        <f aca="false">IF(W48&lt;=0,60,MIN(60,MAX(0,W46/W48)))</f>
        <v>3.65139723990783</v>
      </c>
      <c r="X49" s="74" t="n">
        <f aca="false">IF(X48&lt;=0,60,MIN(60,MAX(0,X46/X48)))</f>
        <v>2.34711862964996</v>
      </c>
      <c r="Y49" s="74" t="n">
        <f aca="false">IF(Y48&lt;=0,60,MIN(60,MAX(0,Y46/Y48)))</f>
        <v>20.3151040004522</v>
      </c>
      <c r="Z49" s="74" t="n">
        <f aca="false">IF(Z48&lt;=0,60,MIN(60,MAX(0,Z46/Z48)))</f>
        <v>15.2640160560048</v>
      </c>
      <c r="AA49" s="74" t="n">
        <f aca="false">IF(AA48&lt;=0,60,MIN(60,MAX(0,AA46/AA48)))</f>
        <v>14.1375991674613</v>
      </c>
      <c r="AB49" s="74" t="n">
        <f aca="false">IF(AB48&lt;=0,60,MIN(60,MAX(0,AB46/AB48)))</f>
        <v>1.18842864985115</v>
      </c>
    </row>
    <row r="50" customFormat="false" ht="15" hidden="false" customHeight="false" outlineLevel="0" collapsed="false">
      <c r="A50" s="28" t="s">
        <v>390</v>
      </c>
      <c r="B50" s="62" t="s">
        <v>63</v>
      </c>
      <c r="C50" s="64" t="n">
        <f aca="false">P50</f>
        <v>1137599.27210099</v>
      </c>
      <c r="D50" s="64" t="n">
        <f aca="false">AB50</f>
        <v>1311775.13838346</v>
      </c>
      <c r="E50" s="65" t="n">
        <f aca="false">Research_Credit!E13</f>
        <v>1024980.6082</v>
      </c>
      <c r="F50" s="65" t="n">
        <f aca="false">Research_Credit!F13</f>
        <v>1118098.0984</v>
      </c>
      <c r="G50" s="65" t="n">
        <f aca="false">Research_Credit!G13</f>
        <v>1212178.825</v>
      </c>
      <c r="H50" s="65" t="n">
        <f aca="false">Research_Credit!H13</f>
        <v>1309817.7706</v>
      </c>
      <c r="I50" s="65" t="n">
        <f aca="false">Research_Credit!I13</f>
        <v>1406131.633</v>
      </c>
      <c r="J50" s="65" t="n">
        <f aca="false">Research_Credit!J13</f>
        <v>1502682.9214</v>
      </c>
      <c r="K50" s="65" t="n">
        <f aca="false">Research_Credit!K13</f>
        <v>663854.4738</v>
      </c>
      <c r="L50" s="65" t="n">
        <f aca="false">Research_Credit!L13</f>
        <v>758369.3376</v>
      </c>
      <c r="M50" s="65" t="n">
        <f aca="false">Research_Credit!M13</f>
        <v>851677.940834467</v>
      </c>
      <c r="N50" s="65" t="n">
        <f aca="false">Research_Credit!N13</f>
        <v>946997.424048313</v>
      </c>
      <c r="O50" s="65" t="n">
        <f aca="false">Research_Credit!O13</f>
        <v>1042306.68414491</v>
      </c>
      <c r="P50" s="65" t="n">
        <f aca="false">Research_Credit!P13</f>
        <v>1137599.27210099</v>
      </c>
      <c r="Q50" s="65" t="n">
        <f aca="false">Research_Credit!Q13</f>
        <v>1242968.02069588</v>
      </c>
      <c r="R50" s="65" t="n">
        <f aca="false">Research_Credit!R13</f>
        <v>1348276.76784327</v>
      </c>
      <c r="S50" s="65" t="n">
        <f aca="false">Research_Credit!S13</f>
        <v>1456397.97685621</v>
      </c>
      <c r="T50" s="65" t="n">
        <f aca="false">Research_Credit!T13</f>
        <v>1564496.24869901</v>
      </c>
      <c r="U50" s="65" t="n">
        <f aca="false">Research_Credit!U13</f>
        <v>1672571.27450268</v>
      </c>
      <c r="V50" s="65" t="n">
        <f aca="false">Research_Credit!V13</f>
        <v>1781935.44470143</v>
      </c>
      <c r="W50" s="65" t="n">
        <f aca="false">Research_Credit!W13</f>
        <v>1891289.06574721</v>
      </c>
      <c r="X50" s="65" t="n">
        <f aca="false">Research_Credit!X13</f>
        <v>2000632.03183264</v>
      </c>
      <c r="Y50" s="65" t="n">
        <f aca="false">Research_Credit!Y13</f>
        <v>975248.008921619</v>
      </c>
      <c r="Z50" s="65" t="n">
        <f aca="false">Research_Credit!Z13</f>
        <v>1087439.41121039</v>
      </c>
      <c r="AA50" s="65" t="n">
        <f aca="false">Research_Credit!AA13</f>
        <v>1199607.0765308</v>
      </c>
      <c r="AB50" s="65" t="n">
        <f aca="false">Research_Credit!AB13</f>
        <v>1311775.13838346</v>
      </c>
    </row>
    <row r="51" customFormat="false" ht="15" hidden="false" customHeight="false" outlineLevel="0" collapsed="false">
      <c r="A51" s="28" t="s">
        <v>391</v>
      </c>
      <c r="B51" s="62" t="s">
        <v>30</v>
      </c>
      <c r="C51" s="64" t="n">
        <f aca="false">SUM(E51:P51)</f>
        <v>1137599.27210099</v>
      </c>
      <c r="D51" s="64" t="n">
        <f aca="false">SUM(Q51:AB51)</f>
        <v>1311775.13838346</v>
      </c>
      <c r="E51" s="65" t="n">
        <f aca="false">PL!E43</f>
        <v>89210.6082</v>
      </c>
      <c r="F51" s="65" t="n">
        <f aca="false">PL!F43</f>
        <v>93117.4902</v>
      </c>
      <c r="G51" s="65" t="n">
        <f aca="false">PL!G43</f>
        <v>94080.7266</v>
      </c>
      <c r="H51" s="65" t="n">
        <f aca="false">PL!H43</f>
        <v>97638.9456</v>
      </c>
      <c r="I51" s="65" t="n">
        <f aca="false">PL!I43</f>
        <v>96313.8624</v>
      </c>
      <c r="J51" s="65" t="n">
        <f aca="false">PL!J43</f>
        <v>96551.2884</v>
      </c>
      <c r="K51" s="65" t="n">
        <f aca="false">PL!K43</f>
        <v>96941.5524</v>
      </c>
      <c r="L51" s="65" t="n">
        <f aca="false">PL!L43</f>
        <v>94514.8638</v>
      </c>
      <c r="M51" s="65" t="n">
        <f aca="false">PL!M43</f>
        <v>93308.6032344667</v>
      </c>
      <c r="N51" s="65" t="n">
        <f aca="false">PL!N43</f>
        <v>95319.4832138461</v>
      </c>
      <c r="O51" s="65" t="n">
        <f aca="false">PL!O43</f>
        <v>95309.2600965974</v>
      </c>
      <c r="P51" s="65" t="n">
        <f aca="false">PL!P43</f>
        <v>95292.5879560796</v>
      </c>
      <c r="Q51" s="65" t="n">
        <f aca="false">PL!Q43</f>
        <v>105368.748594889</v>
      </c>
      <c r="R51" s="65" t="n">
        <f aca="false">PL!R43</f>
        <v>105308.747147387</v>
      </c>
      <c r="S51" s="65" t="n">
        <f aca="false">PL!S43</f>
        <v>108121.209012948</v>
      </c>
      <c r="T51" s="65" t="n">
        <f aca="false">PL!T43</f>
        <v>108098.271842797</v>
      </c>
      <c r="U51" s="65" t="n">
        <f aca="false">PL!U43</f>
        <v>108075.025803669</v>
      </c>
      <c r="V51" s="65" t="n">
        <f aca="false">PL!V43</f>
        <v>109364.170198746</v>
      </c>
      <c r="W51" s="65" t="n">
        <f aca="false">PL!W43</f>
        <v>109353.62104578</v>
      </c>
      <c r="X51" s="65" t="n">
        <f aca="false">PL!X43</f>
        <v>109342.966085429</v>
      </c>
      <c r="Y51" s="65" t="n">
        <f aca="false">PL!Y43</f>
        <v>112215.249189973</v>
      </c>
      <c r="Z51" s="65" t="n">
        <f aca="false">PL!Z43</f>
        <v>112191.402288772</v>
      </c>
      <c r="AA51" s="65" t="n">
        <f aca="false">PL!AA43</f>
        <v>112167.66532041</v>
      </c>
      <c r="AB51" s="65" t="n">
        <f aca="false">PL!AB43</f>
        <v>112168.061852657</v>
      </c>
    </row>
    <row r="52" customFormat="false" ht="15" hidden="false" customHeight="false" outlineLevel="0" collapsed="false">
      <c r="A52" s="28" t="s">
        <v>392</v>
      </c>
      <c r="B52" s="62" t="s">
        <v>30</v>
      </c>
      <c r="C52" s="64" t="n">
        <f aca="false">SUM(E52:P52)</f>
        <v>-4483458.73454856</v>
      </c>
      <c r="D52" s="64" t="n">
        <f aca="false">SUM(Q52:AB52)</f>
        <v>-4111553.04559383</v>
      </c>
      <c r="E52" s="65" t="n">
        <f aca="false">PL!E44</f>
        <v>-382177.400645337</v>
      </c>
      <c r="F52" s="65" t="n">
        <f aca="false">PL!F44</f>
        <v>-430481.377394374</v>
      </c>
      <c r="G52" s="65" t="n">
        <f aca="false">PL!G44</f>
        <v>-430888.496739511</v>
      </c>
      <c r="H52" s="65" t="n">
        <f aca="false">PL!H44</f>
        <v>-460324.960337627</v>
      </c>
      <c r="I52" s="65" t="n">
        <f aca="false">PL!I44</f>
        <v>-361410.490616649</v>
      </c>
      <c r="J52" s="65" t="n">
        <f aca="false">PL!J44</f>
        <v>-473889.77193321</v>
      </c>
      <c r="K52" s="65" t="n">
        <f aca="false">PL!K44</f>
        <v>-359287.248519354</v>
      </c>
      <c r="L52" s="65" t="n">
        <f aca="false">PL!L44</f>
        <v>-184909.742872315</v>
      </c>
      <c r="M52" s="65" t="n">
        <f aca="false">PL!M44</f>
        <v>-290278.709107914</v>
      </c>
      <c r="N52" s="65" t="n">
        <f aca="false">PL!N44</f>
        <v>-396179.025905192</v>
      </c>
      <c r="O52" s="65" t="n">
        <f aca="false">PL!O44</f>
        <v>-391586.651287306</v>
      </c>
      <c r="P52" s="65" t="n">
        <f aca="false">PL!P44</f>
        <v>-322044.859189774</v>
      </c>
      <c r="Q52" s="65" t="n">
        <f aca="false">PL!Q44</f>
        <v>-423360.010258018</v>
      </c>
      <c r="R52" s="65" t="n">
        <f aca="false">PL!R44</f>
        <v>-427150.469002699</v>
      </c>
      <c r="S52" s="65" t="n">
        <f aca="false">PL!S44</f>
        <v>-324702.98098255</v>
      </c>
      <c r="T52" s="65" t="n">
        <f aca="false">PL!T44</f>
        <v>-425058.748807602</v>
      </c>
      <c r="U52" s="65" t="n">
        <f aca="false">PL!U44</f>
        <v>-343563.906644452</v>
      </c>
      <c r="V52" s="65" t="n">
        <f aca="false">PL!V44</f>
        <v>-334771.485919607</v>
      </c>
      <c r="W52" s="65" t="n">
        <f aca="false">PL!W44</f>
        <v>-326608.78841698</v>
      </c>
      <c r="X52" s="65" t="n">
        <f aca="false">PL!X44</f>
        <v>-149975.067065982</v>
      </c>
      <c r="Y52" s="65" t="n">
        <f aca="false">PL!Y44</f>
        <v>-354803.650945216</v>
      </c>
      <c r="Z52" s="65" t="n">
        <f aca="false">PL!Z44</f>
        <v>-327985.18432648</v>
      </c>
      <c r="AA52" s="65" t="n">
        <f aca="false">PL!AA44</f>
        <v>-349976.104851962</v>
      </c>
      <c r="AB52" s="65" t="n">
        <f aca="false">PL!AB44</f>
        <v>-323596.648372282</v>
      </c>
    </row>
    <row r="53" customFormat="false" ht="15" hidden="false" customHeight="false" outlineLevel="0" collapsed="false">
      <c r="A53" s="28" t="s">
        <v>393</v>
      </c>
      <c r="B53" s="62" t="s">
        <v>30</v>
      </c>
      <c r="C53" s="64" t="n">
        <f aca="false">SUM(E53:P53)</f>
        <v>-5621058.00664955</v>
      </c>
      <c r="D53" s="64" t="n">
        <f aca="false">SUM(Q53:AB53)</f>
        <v>-5423328.18397729</v>
      </c>
      <c r="E53" s="65" t="n">
        <f aca="false">PL!E46</f>
        <v>-471388.008845337</v>
      </c>
      <c r="F53" s="65" t="n">
        <f aca="false">PL!F46</f>
        <v>-523598.867594374</v>
      </c>
      <c r="G53" s="65" t="n">
        <f aca="false">PL!G46</f>
        <v>-524969.223339511</v>
      </c>
      <c r="H53" s="65" t="n">
        <f aca="false">PL!H46</f>
        <v>-557963.905937627</v>
      </c>
      <c r="I53" s="65" t="n">
        <f aca="false">PL!I46</f>
        <v>-457724.353016649</v>
      </c>
      <c r="J53" s="65" t="n">
        <f aca="false">PL!J46</f>
        <v>-570441.06033321</v>
      </c>
      <c r="K53" s="65" t="n">
        <f aca="false">PL!K46</f>
        <v>-456228.800919354</v>
      </c>
      <c r="L53" s="65" t="n">
        <f aca="false">PL!L46</f>
        <v>-279424.606672315</v>
      </c>
      <c r="M53" s="65" t="n">
        <f aca="false">PL!M46</f>
        <v>-383587.312342381</v>
      </c>
      <c r="N53" s="65" t="n">
        <f aca="false">PL!N46</f>
        <v>-491498.509119038</v>
      </c>
      <c r="O53" s="65" t="n">
        <f aca="false">PL!O46</f>
        <v>-486895.911383904</v>
      </c>
      <c r="P53" s="65" t="n">
        <f aca="false">PL!P46</f>
        <v>-417337.447145853</v>
      </c>
      <c r="Q53" s="65" t="n">
        <f aca="false">PL!Q46</f>
        <v>-528728.758852908</v>
      </c>
      <c r="R53" s="65" t="n">
        <f aca="false">PL!R46</f>
        <v>-532459.216150086</v>
      </c>
      <c r="S53" s="65" t="n">
        <f aca="false">PL!S46</f>
        <v>-432824.189995498</v>
      </c>
      <c r="T53" s="65" t="n">
        <f aca="false">PL!T46</f>
        <v>-533157.020650399</v>
      </c>
      <c r="U53" s="65" t="n">
        <f aca="false">PL!U46</f>
        <v>-451638.932448121</v>
      </c>
      <c r="V53" s="65" t="n">
        <f aca="false">PL!V46</f>
        <v>-444135.656118353</v>
      </c>
      <c r="W53" s="65" t="n">
        <f aca="false">PL!W46</f>
        <v>-435962.40946276</v>
      </c>
      <c r="X53" s="65" t="n">
        <f aca="false">PL!X46</f>
        <v>-259318.033151411</v>
      </c>
      <c r="Y53" s="65" t="n">
        <f aca="false">PL!Y46</f>
        <v>-467018.900135189</v>
      </c>
      <c r="Z53" s="65" t="n">
        <f aca="false">PL!Z46</f>
        <v>-440176.586615252</v>
      </c>
      <c r="AA53" s="65" t="n">
        <f aca="false">PL!AA46</f>
        <v>-462143.770172372</v>
      </c>
      <c r="AB53" s="65" t="n">
        <f aca="false">PL!AB46</f>
        <v>-435764.710224939</v>
      </c>
    </row>
    <row r="54" customFormat="false" ht="15" hidden="false" customHeight="false" outlineLevel="0" collapsed="false">
      <c r="A54" s="28" t="s">
        <v>394</v>
      </c>
      <c r="B54" s="62" t="s">
        <v>33</v>
      </c>
      <c r="C54" s="64" t="n">
        <f aca="false">P54</f>
        <v>671072.829246591</v>
      </c>
      <c r="D54" s="64" t="n">
        <f aca="false">AB54</f>
        <v>776942.393487923</v>
      </c>
      <c r="E54" s="65" t="n">
        <f aca="false">BS!E51</f>
        <v>615710.114090909</v>
      </c>
      <c r="F54" s="65" t="n">
        <f aca="false">BS!F51</f>
        <v>636065.675454545</v>
      </c>
      <c r="G54" s="65" t="n">
        <f aca="false">BS!G51</f>
        <v>571616.271818182</v>
      </c>
      <c r="H54" s="65" t="n">
        <f aca="false">BS!H51</f>
        <v>692385.454545455</v>
      </c>
      <c r="I54" s="65" t="n">
        <f aca="false">BS!I51</f>
        <v>671452.045454545</v>
      </c>
      <c r="J54" s="65" t="n">
        <f aca="false">BS!J51</f>
        <v>591316.309545455</v>
      </c>
      <c r="K54" s="65" t="n">
        <f aca="false">BS!K51</f>
        <v>750837.143636364</v>
      </c>
      <c r="L54" s="65" t="n">
        <f aca="false">BS!L51</f>
        <v>667955.930909091</v>
      </c>
      <c r="M54" s="65" t="n">
        <f aca="false">BS!M51</f>
        <v>514178.336427834</v>
      </c>
      <c r="N54" s="65" t="n">
        <f aca="false">BS!N51</f>
        <v>708912.895495448</v>
      </c>
      <c r="O54" s="65" t="n">
        <f aca="false">BS!O51</f>
        <v>726079.935215685</v>
      </c>
      <c r="P54" s="65" t="n">
        <f aca="false">BS!P51</f>
        <v>671072.829246591</v>
      </c>
      <c r="Q54" s="65" t="n">
        <f aca="false">BS!Q51</f>
        <v>836795.506689028</v>
      </c>
      <c r="R54" s="65" t="n">
        <f aca="false">BS!R51</f>
        <v>935085.534269493</v>
      </c>
      <c r="S54" s="65" t="n">
        <f aca="false">BS!S51</f>
        <v>732157.646588346</v>
      </c>
      <c r="T54" s="65" t="n">
        <f aca="false">BS!T51</f>
        <v>914630.253475946</v>
      </c>
      <c r="U54" s="65" t="n">
        <f aca="false">BS!U51</f>
        <v>976462.457860312</v>
      </c>
      <c r="V54" s="65" t="n">
        <f aca="false">BS!V51</f>
        <v>819923.530680982</v>
      </c>
      <c r="W54" s="65" t="n">
        <f aca="false">BS!W51</f>
        <v>938056.22271094</v>
      </c>
      <c r="X54" s="65" t="n">
        <f aca="false">BS!X51</f>
        <v>912966.801630988</v>
      </c>
      <c r="Y54" s="65" t="n">
        <f aca="false">BS!Y51</f>
        <v>820517.848316059</v>
      </c>
      <c r="Z54" s="65" t="n">
        <f aca="false">BS!Z51</f>
        <v>880852.992321935</v>
      </c>
      <c r="AA54" s="65" t="n">
        <f aca="false">BS!AA51</f>
        <v>882787.99706675</v>
      </c>
      <c r="AB54" s="65" t="n">
        <f aca="false">BS!AB51</f>
        <v>776942.393487923</v>
      </c>
    </row>
    <row r="55" customFormat="false" ht="15" hidden="false" customHeight="false" outlineLevel="0" collapsed="false">
      <c r="A55" s="28" t="s">
        <v>395</v>
      </c>
      <c r="B55" s="62" t="s">
        <v>61</v>
      </c>
      <c r="C55" s="67" t="n">
        <f aca="false">P55</f>
        <v>78.3720046872435</v>
      </c>
      <c r="D55" s="67" t="n">
        <f aca="false">AB55</f>
        <v>90.099478165392</v>
      </c>
      <c r="E55" s="68" t="n">
        <f aca="false">People!E22</f>
        <v>71</v>
      </c>
      <c r="F55" s="68" t="n">
        <f aca="false">People!F22</f>
        <v>73</v>
      </c>
      <c r="G55" s="68" t="n">
        <f aca="false">People!G22</f>
        <v>76</v>
      </c>
      <c r="H55" s="68" t="n">
        <f aca="false">People!H22</f>
        <v>78</v>
      </c>
      <c r="I55" s="68" t="n">
        <f aca="false">People!I22</f>
        <v>78</v>
      </c>
      <c r="J55" s="68" t="n">
        <f aca="false">People!J22</f>
        <v>79</v>
      </c>
      <c r="K55" s="68" t="n">
        <f aca="false">People!K22</f>
        <v>78</v>
      </c>
      <c r="L55" s="68" t="n">
        <f aca="false">People!L22</f>
        <v>77</v>
      </c>
      <c r="M55" s="68" t="n">
        <f aca="false">People!M22</f>
        <v>76.1966666666667</v>
      </c>
      <c r="N55" s="68" t="n">
        <f aca="false">People!N22</f>
        <v>77.4026472222222</v>
      </c>
      <c r="O55" s="68" t="n">
        <f aca="false">People!O22</f>
        <v>78.4003221087963</v>
      </c>
      <c r="P55" s="68" t="n">
        <f aca="false">People!P22</f>
        <v>78.3720046872435</v>
      </c>
      <c r="Q55" s="68" t="n">
        <f aca="false">People!Q22</f>
        <v>83.3557126319579</v>
      </c>
      <c r="R55" s="68" t="n">
        <f aca="false">People!R22</f>
        <v>84.3022053505459</v>
      </c>
      <c r="S55" s="68" t="n">
        <f aca="false">People!S22</f>
        <v>85.2322772952192</v>
      </c>
      <c r="T55" s="68" t="n">
        <f aca="false">People!T22</f>
        <v>87.2088169636474</v>
      </c>
      <c r="U55" s="68" t="n">
        <f aca="false">People!U22</f>
        <v>87.1725506788034</v>
      </c>
      <c r="V55" s="68" t="n">
        <f aca="false">People!V22</f>
        <v>88.1441961245398</v>
      </c>
      <c r="W55" s="68" t="n">
        <f aca="false">People!W22</f>
        <v>89.1367708295454</v>
      </c>
      <c r="X55" s="68" t="n">
        <f aca="false">People!X22</f>
        <v>89.122249206318</v>
      </c>
      <c r="Y55" s="68" t="n">
        <f aca="false">People!Y22</f>
        <v>90.1157457949899</v>
      </c>
      <c r="Z55" s="68" t="n">
        <f aca="false">People!Z22</f>
        <v>90.1075628617505</v>
      </c>
      <c r="AA55" s="68" t="n">
        <f aca="false">People!AA22</f>
        <v>90.099341201168</v>
      </c>
      <c r="AB55" s="68" t="n">
        <f aca="false">People!AB22</f>
        <v>90.099478165392</v>
      </c>
    </row>
    <row r="56" customFormat="false" ht="15" hidden="false" customHeight="false" outlineLevel="0" collapsed="false">
      <c r="A56" s="28" t="s">
        <v>396</v>
      </c>
      <c r="B56" s="62"/>
      <c r="C56" s="64" t="n">
        <f aca="false">P56</f>
        <v>91550.6284966144</v>
      </c>
      <c r="D56" s="64" t="n">
        <f aca="false">AB56</f>
        <v>100638.987607196</v>
      </c>
      <c r="E56" s="65" t="n">
        <f aca="false">IF(People!E22=0,0,12*PL!E15/People!E22)</f>
        <v>83908.6759282971</v>
      </c>
      <c r="F56" s="65" t="n">
        <f aca="false">IF(People!F22=0,0,12*PL!F15/People!F22)</f>
        <v>78063.6507347447</v>
      </c>
      <c r="G56" s="65" t="n">
        <f aca="false">IF(People!G22=0,0,12*PL!G15/People!G22)</f>
        <v>81028.407416268</v>
      </c>
      <c r="H56" s="65" t="n">
        <f aca="false">IF(People!H22=0,0,12*PL!H15/People!H22)</f>
        <v>75226.154965035</v>
      </c>
      <c r="I56" s="65" t="n">
        <f aca="false">IF(People!I22=0,0,12*PL!I15/People!I22)</f>
        <v>80550.6167832168</v>
      </c>
      <c r="J56" s="65" t="n">
        <f aca="false">IF(People!J22=0,0,12*PL!J15/People!J22)</f>
        <v>86312.8535558113</v>
      </c>
      <c r="K56" s="65" t="n">
        <f aca="false">IF(People!K22=0,0,12*PL!K15/People!K22)</f>
        <v>87216.3424475525</v>
      </c>
      <c r="L56" s="65" t="n">
        <f aca="false">IF(People!L22=0,0,12*PL!L15/People!L22)</f>
        <v>89477.0014639905</v>
      </c>
      <c r="M56" s="65" t="n">
        <f aca="false">IF(People!M22=0,0,12*PL!M15/People!M22)</f>
        <v>104221.820800266</v>
      </c>
      <c r="N56" s="65" t="n">
        <f aca="false">IF(People!N22=0,0,12*PL!N15/People!N22)</f>
        <v>87362.3764737129</v>
      </c>
      <c r="O56" s="65" t="n">
        <f aca="false">IF(People!O22=0,0,12*PL!O15/People!O22)</f>
        <v>89643.3561667626</v>
      </c>
      <c r="P56" s="65" t="n">
        <f aca="false">IF(People!P22=0,0,12*PL!P15/People!P22)</f>
        <v>91550.6284966144</v>
      </c>
      <c r="Q56" s="65" t="n">
        <f aca="false">IF(People!Q22=0,0,12*PL!Q15/People!Q22)</f>
        <v>92289.9687141376</v>
      </c>
      <c r="R56" s="65" t="n">
        <f aca="false">IF(People!R22=0,0,12*PL!R15/People!R22)</f>
        <v>90120.8225577982</v>
      </c>
      <c r="S56" s="65" t="n">
        <f aca="false">IF(People!S22=0,0,12*PL!S15/People!S22)</f>
        <v>106661.276508899</v>
      </c>
      <c r="T56" s="65" t="n">
        <f aca="false">IF(People!T22=0,0,12*PL!T15/People!T22)</f>
        <v>90701.0092883115</v>
      </c>
      <c r="U56" s="65" t="n">
        <f aca="false">IF(People!U22=0,0,12*PL!U15/People!U22)</f>
        <v>93832.3994267642</v>
      </c>
      <c r="V56" s="65" t="n">
        <f aca="false">IF(People!V22=0,0,12*PL!V15/People!V22)</f>
        <v>109459.155007046</v>
      </c>
      <c r="W56" s="65" t="n">
        <f aca="false">IF(People!W22=0,0,12*PL!W15/People!W22)</f>
        <v>93369.3201462149</v>
      </c>
      <c r="X56" s="65" t="n">
        <f aca="false">IF(People!X22=0,0,12*PL!X15/People!X22)</f>
        <v>95672.9295894835</v>
      </c>
      <c r="Y56" s="65" t="n">
        <f aca="false">IF(People!Y22=0,0,12*PL!Y15/People!Y22)</f>
        <v>102324.085620614</v>
      </c>
      <c r="Z56" s="65" t="n">
        <f aca="false">IF(People!Z22=0,0,12*PL!Z15/People!Z22)</f>
        <v>106011.496431269</v>
      </c>
      <c r="AA56" s="65" t="n">
        <f aca="false">IF(People!AA22=0,0,12*PL!AA15/People!AA22)</f>
        <v>104299.078674633</v>
      </c>
      <c r="AB56" s="65" t="n">
        <f aca="false">IF(People!AB22=0,0,12*PL!AB15/People!AB22)</f>
        <v>100638.987607196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397</v>
      </c>
    </row>
    <row r="3" customFormat="false" ht="15" hidden="false" customHeight="false" outlineLevel="0" collapsed="false">
      <c r="A3" s="49" t="s">
        <v>398</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399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400</v>
      </c>
      <c r="B9" s="62" t="s">
        <v>44</v>
      </c>
      <c r="C9" s="64" t="n">
        <f aca="false">SUM(E9:P9)</f>
        <v>1053571.21815162</v>
      </c>
      <c r="D9" s="64" t="n">
        <f aca="false">SUM(Q9:AB9)</f>
        <v>1531023.42874785</v>
      </c>
      <c r="E9" s="65" t="n">
        <f aca="false">Revenue!E9</f>
        <v>75510.7959090909</v>
      </c>
      <c r="F9" s="65" t="n">
        <f aca="false">Revenue!F9</f>
        <v>81962.1586363636</v>
      </c>
      <c r="G9" s="65" t="n">
        <f aca="false">Revenue!G9</f>
        <v>82243.0836363636</v>
      </c>
      <c r="H9" s="65" t="n">
        <f aca="false">Revenue!H9</f>
        <v>84029.0972727273</v>
      </c>
      <c r="I9" s="65" t="n">
        <f aca="false">Revenue!I9</f>
        <v>82221.3490909091</v>
      </c>
      <c r="J9" s="65" t="n">
        <f aca="false">Revenue!J9</f>
        <v>85687.5559090909</v>
      </c>
      <c r="K9" s="65" t="n">
        <f aca="false">Revenue!K9</f>
        <v>88344.3359090909</v>
      </c>
      <c r="L9" s="65" t="n">
        <f aca="false">Revenue!L9</f>
        <v>86409.2727272727</v>
      </c>
      <c r="M9" s="65" t="n">
        <f aca="false">Revenue!M9</f>
        <v>91113.780431591</v>
      </c>
      <c r="N9" s="65" t="n">
        <f aca="false">Revenue!N9</f>
        <v>95687.1100549517</v>
      </c>
      <c r="O9" s="65" t="n">
        <f aca="false">Revenue!O9</f>
        <v>101214.182875414</v>
      </c>
      <c r="P9" s="65" t="n">
        <f aca="false">Revenue!P9</f>
        <v>99148.4956987587</v>
      </c>
      <c r="Q9" s="65" t="n">
        <f aca="false">Revenue!Q9</f>
        <v>111475.371006654</v>
      </c>
      <c r="R9" s="65" t="n">
        <f aca="false">Revenue!R9</f>
        <v>111811.665017257</v>
      </c>
      <c r="S9" s="65" t="n">
        <f aca="false">Revenue!S9</f>
        <v>117330.793714634</v>
      </c>
      <c r="T9" s="65" t="n">
        <f aca="false">Revenue!T9</f>
        <v>119396.058284809</v>
      </c>
      <c r="U9" s="65" t="n">
        <f aca="false">Revenue!U9</f>
        <v>126101.330458553</v>
      </c>
      <c r="V9" s="65" t="n">
        <f aca="false">Revenue!V9</f>
        <v>122409.437122515</v>
      </c>
      <c r="W9" s="65" t="n">
        <f aca="false">Revenue!W9</f>
        <v>127598.900460813</v>
      </c>
      <c r="X9" s="65" t="n">
        <f aca="false">Revenue!X9</f>
        <v>126499.417589698</v>
      </c>
      <c r="Y9" s="65" t="n">
        <f aca="false">Revenue!Y9</f>
        <v>133364.497013951</v>
      </c>
      <c r="Z9" s="65" t="n">
        <f aca="false">Revenue!Z9</f>
        <v>140332.714763713</v>
      </c>
      <c r="AA9" s="65" t="n">
        <f aca="false">Revenue!AA9</f>
        <v>145640.002187864</v>
      </c>
      <c r="AB9" s="65" t="n">
        <f aca="false">Revenue!AB9</f>
        <v>149063.24112739</v>
      </c>
    </row>
    <row r="10" customFormat="false" ht="15" hidden="false" customHeight="false" outlineLevel="0" collapsed="false">
      <c r="A10" s="28" t="s">
        <v>401</v>
      </c>
      <c r="B10" s="62" t="s">
        <v>44</v>
      </c>
      <c r="C10" s="64" t="n">
        <f aca="false">SUM(E10:P10)</f>
        <v>1979743.0001809</v>
      </c>
      <c r="D10" s="64" t="n">
        <f aca="false">SUM(Q10:AB10)</f>
        <v>2339041.64763248</v>
      </c>
      <c r="E10" s="65" t="n">
        <f aca="false">Revenue!E10</f>
        <v>147822.39</v>
      </c>
      <c r="F10" s="65" t="n">
        <f aca="false">Revenue!F10</f>
        <v>151285.63</v>
      </c>
      <c r="G10" s="65" t="n">
        <f aca="false">Revenue!G10</f>
        <v>158437.14</v>
      </c>
      <c r="H10" s="65" t="n">
        <f aca="false">Revenue!H10</f>
        <v>160611.64</v>
      </c>
      <c r="I10" s="65" t="n">
        <f aca="false">Revenue!I10</f>
        <v>164477.79</v>
      </c>
      <c r="J10" s="65" t="n">
        <f aca="false">Revenue!J10</f>
        <v>167613.02</v>
      </c>
      <c r="K10" s="65" t="n">
        <f aca="false">Revenue!K10</f>
        <v>166964.24</v>
      </c>
      <c r="L10" s="65" t="n">
        <f aca="false">Revenue!L10</f>
        <v>166016.24</v>
      </c>
      <c r="M10" s="65" t="n">
        <f aca="false">Revenue!M10</f>
        <v>169400.325521396</v>
      </c>
      <c r="N10" s="65" t="n">
        <f aca="false">Revenue!N10</f>
        <v>172854.600518824</v>
      </c>
      <c r="O10" s="65" t="n">
        <f aca="false">Revenue!O10</f>
        <v>175919.658096891</v>
      </c>
      <c r="P10" s="65" t="n">
        <f aca="false">Revenue!P10</f>
        <v>178340.32604379</v>
      </c>
      <c r="Q10" s="65" t="n">
        <f aca="false">Revenue!Q10</f>
        <v>181640.713518022</v>
      </c>
      <c r="R10" s="65" t="n">
        <f aca="false">Revenue!R10</f>
        <v>184553.394380423</v>
      </c>
      <c r="S10" s="65" t="n">
        <f aca="false">Revenue!S10</f>
        <v>187613.729454503</v>
      </c>
      <c r="T10" s="65" t="n">
        <f aca="false">Revenue!T10</f>
        <v>190091.691438237</v>
      </c>
      <c r="U10" s="65" t="n">
        <f aca="false">Revenue!U10</f>
        <v>192395.694286541</v>
      </c>
      <c r="V10" s="65" t="n">
        <f aca="false">Revenue!V10</f>
        <v>194794.707845499</v>
      </c>
      <c r="W10" s="65" t="n">
        <f aca="false">Revenue!W10</f>
        <v>196355.601573054</v>
      </c>
      <c r="X10" s="65" t="n">
        <f aca="false">Revenue!X10</f>
        <v>196826.985097682</v>
      </c>
      <c r="Y10" s="65" t="n">
        <f aca="false">Revenue!Y10</f>
        <v>199702.693367899</v>
      </c>
      <c r="Z10" s="65" t="n">
        <f aca="false">Revenue!Z10</f>
        <v>202663.313542504</v>
      </c>
      <c r="AA10" s="65" t="n">
        <f aca="false">Revenue!AA10</f>
        <v>205238.003817074</v>
      </c>
      <c r="AB10" s="65" t="n">
        <f aca="false">Revenue!AB10</f>
        <v>207165.119311044</v>
      </c>
    </row>
    <row r="11" customFormat="false" ht="15" hidden="false" customHeight="false" outlineLevel="0" collapsed="false">
      <c r="A11" s="28" t="s">
        <v>402</v>
      </c>
      <c r="B11" s="62" t="s">
        <v>44</v>
      </c>
      <c r="C11" s="64" t="n">
        <f aca="false">SUM(E11:P11)</f>
        <v>453712.809341607</v>
      </c>
      <c r="D11" s="64" t="n">
        <f aca="false">SUM(Q11:AB11)</f>
        <v>537979.578955471</v>
      </c>
      <c r="E11" s="65" t="n">
        <f aca="false">Revenue!E11</f>
        <v>33802.2</v>
      </c>
      <c r="F11" s="65" t="n">
        <f aca="false">Revenue!F11</f>
        <v>32583.96</v>
      </c>
      <c r="G11" s="65" t="n">
        <f aca="false">Revenue!G11</f>
        <v>32561.07</v>
      </c>
      <c r="H11" s="65" t="n">
        <f aca="false">Revenue!H11</f>
        <v>33100.75</v>
      </c>
      <c r="I11" s="65" t="n">
        <f aca="false">Revenue!I11</f>
        <v>37038.12</v>
      </c>
      <c r="J11" s="65" t="n">
        <f aca="false">Revenue!J11</f>
        <v>40825.68</v>
      </c>
      <c r="K11" s="65" t="n">
        <f aca="false">Revenue!K11</f>
        <v>41131.2</v>
      </c>
      <c r="L11" s="65" t="n">
        <f aca="false">Revenue!L11</f>
        <v>42471.4</v>
      </c>
      <c r="M11" s="65" t="n">
        <f aca="false">Revenue!M11</f>
        <v>38962.0748699211</v>
      </c>
      <c r="N11" s="65" t="n">
        <f aca="false">Revenue!N11</f>
        <v>39756.5581193296</v>
      </c>
      <c r="O11" s="65" t="n">
        <f aca="false">Revenue!O11</f>
        <v>40461.521362285</v>
      </c>
      <c r="P11" s="65" t="n">
        <f aca="false">Revenue!P11</f>
        <v>41018.2749900716</v>
      </c>
      <c r="Q11" s="65" t="n">
        <f aca="false">Revenue!Q11</f>
        <v>41777.3641091449</v>
      </c>
      <c r="R11" s="65" t="n">
        <f aca="false">Revenue!R11</f>
        <v>42447.2807074973</v>
      </c>
      <c r="S11" s="65" t="n">
        <f aca="false">Revenue!S11</f>
        <v>43151.1577745358</v>
      </c>
      <c r="T11" s="65" t="n">
        <f aca="false">Revenue!T11</f>
        <v>43721.0890307946</v>
      </c>
      <c r="U11" s="65" t="n">
        <f aca="false">Revenue!U11</f>
        <v>44251.0096859044</v>
      </c>
      <c r="V11" s="65" t="n">
        <f aca="false">Revenue!V11</f>
        <v>44802.7828044648</v>
      </c>
      <c r="W11" s="65" t="n">
        <f aca="false">Revenue!W11</f>
        <v>45161.7883618024</v>
      </c>
      <c r="X11" s="65" t="n">
        <f aca="false">Revenue!X11</f>
        <v>45270.2065724668</v>
      </c>
      <c r="Y11" s="65" t="n">
        <f aca="false">Revenue!Y11</f>
        <v>45931.6194746167</v>
      </c>
      <c r="Z11" s="65" t="n">
        <f aca="false">Revenue!Z11</f>
        <v>46612.5621147758</v>
      </c>
      <c r="AA11" s="65" t="n">
        <f aca="false">Revenue!AA11</f>
        <v>47204.740877927</v>
      </c>
      <c r="AB11" s="65" t="n">
        <f aca="false">Revenue!AB11</f>
        <v>47647.9774415401</v>
      </c>
    </row>
    <row r="12" customFormat="false" ht="15" hidden="false" customHeight="false" outlineLevel="0" collapsed="false">
      <c r="A12" s="28" t="s">
        <v>403</v>
      </c>
      <c r="B12" s="62" t="s">
        <v>44</v>
      </c>
      <c r="C12" s="64" t="n">
        <f aca="false">SUM(E12:P12)</f>
        <v>2806498.21860054</v>
      </c>
      <c r="D12" s="64" t="n">
        <f aca="false">SUM(Q12:AB12)</f>
        <v>3857124.28815138</v>
      </c>
      <c r="E12" s="65" t="n">
        <f aca="false">Revenue!E12</f>
        <v>202445.9</v>
      </c>
      <c r="F12" s="65" t="n">
        <f aca="false">Revenue!F12</f>
        <v>209055.46</v>
      </c>
      <c r="G12" s="65" t="n">
        <f aca="false">Revenue!G12</f>
        <v>196726.04</v>
      </c>
      <c r="H12" s="65" t="n">
        <f aca="false">Revenue!H12</f>
        <v>211228.52</v>
      </c>
      <c r="I12" s="65" t="n">
        <f aca="false">Revenue!I12</f>
        <v>213463.27</v>
      </c>
      <c r="J12" s="65" t="n">
        <f aca="false">Revenue!J12</f>
        <v>221103.56</v>
      </c>
      <c r="K12" s="65" t="n">
        <f aca="false">Revenue!K12</f>
        <v>248370.94</v>
      </c>
      <c r="L12" s="65" t="n">
        <f aca="false">Revenue!L12</f>
        <v>248850.22</v>
      </c>
      <c r="M12" s="65" t="n">
        <f aca="false">Revenue!M12</f>
        <v>252558.910133</v>
      </c>
      <c r="N12" s="65" t="n">
        <f aca="false">Revenue!N12</f>
        <v>255208.333864375</v>
      </c>
      <c r="O12" s="65" t="n">
        <f aca="false">Revenue!O12</f>
        <v>268076.970864388</v>
      </c>
      <c r="P12" s="65" t="n">
        <f aca="false">Revenue!P12</f>
        <v>279410.093738776</v>
      </c>
      <c r="Q12" s="65" t="n">
        <f aca="false">Revenue!Q12</f>
        <v>285510.929868388</v>
      </c>
      <c r="R12" s="65" t="n">
        <f aca="false">Revenue!R12</f>
        <v>294303.000697124</v>
      </c>
      <c r="S12" s="65" t="n">
        <f aca="false">Revenue!S12</f>
        <v>304956.226560831</v>
      </c>
      <c r="T12" s="65" t="n">
        <f aca="false">Revenue!T12</f>
        <v>305951.804366362</v>
      </c>
      <c r="U12" s="65" t="n">
        <f aca="false">Revenue!U12</f>
        <v>318886.098430946</v>
      </c>
      <c r="V12" s="65" t="n">
        <f aca="false">Revenue!V12</f>
        <v>320622.744612315</v>
      </c>
      <c r="W12" s="65" t="n">
        <f aca="false">Revenue!W12</f>
        <v>324437.017302965</v>
      </c>
      <c r="X12" s="65" t="n">
        <f aca="false">Revenue!X12</f>
        <v>330240.159806503</v>
      </c>
      <c r="Y12" s="65" t="n">
        <f aca="false">Revenue!Y12</f>
        <v>335702.459486471</v>
      </c>
      <c r="Z12" s="65" t="n">
        <f aca="false">Revenue!Z12</f>
        <v>339999.40085151</v>
      </c>
      <c r="AA12" s="65" t="n">
        <f aca="false">Revenue!AA12</f>
        <v>344764.095172794</v>
      </c>
      <c r="AB12" s="65" t="n">
        <f aca="false">Revenue!AB12</f>
        <v>351750.350995172</v>
      </c>
    </row>
    <row r="13" customFormat="false" ht="15" hidden="false" customHeight="false" outlineLevel="0" collapsed="false">
      <c r="A13" s="28" t="s">
        <v>404</v>
      </c>
      <c r="B13" s="62" t="s">
        <v>44</v>
      </c>
      <c r="C13" s="64" t="n">
        <f aca="false">SUM(E13:P13)</f>
        <v>326220.70062</v>
      </c>
      <c r="D13" s="64" t="n">
        <f aca="false">SUM(Q13:AB13)</f>
        <v>418703.05741026</v>
      </c>
      <c r="E13" s="65" t="n">
        <f aca="false">Revenue!E13</f>
        <v>36878.38</v>
      </c>
      <c r="F13" s="65" t="n">
        <f aca="false">Revenue!F13</f>
        <v>0</v>
      </c>
      <c r="G13" s="65" t="n">
        <f aca="false">Revenue!G13</f>
        <v>43212.58</v>
      </c>
      <c r="H13" s="65" t="n">
        <f aca="false">Revenue!H13</f>
        <v>0</v>
      </c>
      <c r="I13" s="65" t="n">
        <f aca="false">Revenue!I13</f>
        <v>26378.48</v>
      </c>
      <c r="J13" s="65" t="n">
        <f aca="false">Revenue!J13</f>
        <v>52996.47</v>
      </c>
      <c r="K13" s="65" t="n">
        <f aca="false">Revenue!K13</f>
        <v>22095.51</v>
      </c>
      <c r="L13" s="65" t="n">
        <f aca="false">Revenue!L13</f>
        <v>34914.76</v>
      </c>
      <c r="M13" s="65" t="n">
        <f aca="false">Revenue!M13</f>
        <v>109744.52062</v>
      </c>
      <c r="N13" s="65" t="n">
        <f aca="false">Revenue!N13</f>
        <v>0</v>
      </c>
      <c r="O13" s="65" t="n">
        <f aca="false">Revenue!O13</f>
        <v>0</v>
      </c>
      <c r="P13" s="65" t="n">
        <f aca="false">Revenue!P13</f>
        <v>0</v>
      </c>
      <c r="Q13" s="65" t="n">
        <f aca="false">Revenue!Q13</f>
        <v>20670.2974101282</v>
      </c>
      <c r="R13" s="65" t="n">
        <f aca="false">Revenue!R13</f>
        <v>0</v>
      </c>
      <c r="S13" s="65" t="n">
        <f aca="false">Revenue!S13</f>
        <v>104530.050501205</v>
      </c>
      <c r="T13" s="65" t="n">
        <f aca="false">Revenue!T13</f>
        <v>0</v>
      </c>
      <c r="U13" s="65" t="n">
        <f aca="false">Revenue!U13</f>
        <v>0</v>
      </c>
      <c r="V13" s="65" t="n">
        <f aca="false">Revenue!V13</f>
        <v>121386.096495831</v>
      </c>
      <c r="W13" s="65" t="n">
        <f aca="false">Revenue!W13</f>
        <v>0</v>
      </c>
      <c r="X13" s="65" t="n">
        <f aca="false">Revenue!X13</f>
        <v>11712.120364688</v>
      </c>
      <c r="Y13" s="65" t="n">
        <f aca="false">Revenue!Y13</f>
        <v>53716.3380313987</v>
      </c>
      <c r="Z13" s="65" t="n">
        <f aca="false">Revenue!Z13</f>
        <v>66428.4736232323</v>
      </c>
      <c r="AA13" s="65" t="n">
        <f aca="false">Revenue!AA13</f>
        <v>40259.6809837771</v>
      </c>
      <c r="AB13" s="65" t="n">
        <f aca="false">Revenue!AB13</f>
        <v>0</v>
      </c>
    </row>
    <row r="14" customFormat="false" ht="15" hidden="false" customHeight="false" outlineLevel="0" collapsed="false">
      <c r="A14" s="28" t="s">
        <v>405</v>
      </c>
      <c r="B14" s="62" t="s">
        <v>44</v>
      </c>
      <c r="C14" s="64" t="n">
        <f aca="false">SUM(E14:P14)</f>
        <v>-4517.802</v>
      </c>
      <c r="D14" s="64" t="n">
        <f aca="false">SUM(Q14:AB14)</f>
        <v>0</v>
      </c>
      <c r="E14" s="65" t="n">
        <f aca="false">Revenue!E14</f>
        <v>-0</v>
      </c>
      <c r="F14" s="65" t="n">
        <f aca="false">Revenue!F14</f>
        <v>-0</v>
      </c>
      <c r="G14" s="65" t="n">
        <f aca="false">Revenue!G14</f>
        <v>-0</v>
      </c>
      <c r="H14" s="65" t="n">
        <f aca="false">Revenue!H14</f>
        <v>-0</v>
      </c>
      <c r="I14" s="65" t="n">
        <f aca="false">Revenue!I14</f>
        <v>-0</v>
      </c>
      <c r="J14" s="65" t="n">
        <f aca="false">Revenue!J14</f>
        <v>-0</v>
      </c>
      <c r="K14" s="65" t="n">
        <f aca="false">Revenue!K14</f>
        <v>-0</v>
      </c>
      <c r="L14" s="65" t="n">
        <f aca="false">Revenue!L14</f>
        <v>-4517.8</v>
      </c>
      <c r="M14" s="65" t="n">
        <f aca="false">Revenue!M14</f>
        <v>-0</v>
      </c>
      <c r="N14" s="65" t="n">
        <f aca="false">Revenue!N14</f>
        <v>-0.00199999999949796</v>
      </c>
      <c r="O14" s="65" t="n">
        <f aca="false">Revenue!O14</f>
        <v>-0</v>
      </c>
      <c r="P14" s="65" t="n">
        <f aca="false">Revenue!P14</f>
        <v>-0</v>
      </c>
      <c r="Q14" s="65" t="n">
        <f aca="false">Revenue!Q14</f>
        <v>-0</v>
      </c>
      <c r="R14" s="65" t="n">
        <f aca="false">Revenue!R14</f>
        <v>-0</v>
      </c>
      <c r="S14" s="65" t="n">
        <f aca="false">Revenue!S14</f>
        <v>-0</v>
      </c>
      <c r="T14" s="65" t="n">
        <f aca="false">Revenue!T14</f>
        <v>-0</v>
      </c>
      <c r="U14" s="65" t="n">
        <f aca="false">Revenue!U14</f>
        <v>-0</v>
      </c>
      <c r="V14" s="65" t="n">
        <f aca="false">Revenue!V14</f>
        <v>-0</v>
      </c>
      <c r="W14" s="65" t="n">
        <f aca="false">Revenue!W14</f>
        <v>-0</v>
      </c>
      <c r="X14" s="65" t="n">
        <f aca="false">Revenue!X14</f>
        <v>-0</v>
      </c>
      <c r="Y14" s="65" t="n">
        <f aca="false">Revenue!Y14</f>
        <v>-0</v>
      </c>
      <c r="Z14" s="65" t="n">
        <f aca="false">Revenue!Z14</f>
        <v>-0</v>
      </c>
      <c r="AA14" s="65" t="n">
        <f aca="false">Revenue!AA14</f>
        <v>-0</v>
      </c>
      <c r="AB14" s="65" t="n">
        <f aca="false">Revenue!AB14</f>
        <v>-0</v>
      </c>
    </row>
    <row r="15" customFormat="false" ht="15" hidden="false" customHeight="false" outlineLevel="0" collapsed="false">
      <c r="A15" s="58" t="s">
        <v>406</v>
      </c>
      <c r="B15" s="59"/>
      <c r="C15" s="60" t="n">
        <f aca="false">SUM(E15:P15)</f>
        <v>6615228.14489467</v>
      </c>
      <c r="D15" s="60" t="n">
        <f aca="false">SUM(Q15:AB15)</f>
        <v>8683872.00089744</v>
      </c>
      <c r="E15" s="60" t="n">
        <f aca="false">SUM(E9:E14)</f>
        <v>496459.665909091</v>
      </c>
      <c r="F15" s="60" t="n">
        <f aca="false">SUM(F9:F14)</f>
        <v>474887.208636364</v>
      </c>
      <c r="G15" s="60" t="n">
        <f aca="false">SUM(G9:G14)</f>
        <v>513179.913636364</v>
      </c>
      <c r="H15" s="60" t="n">
        <f aca="false">SUM(H9:H14)</f>
        <v>488970.007272727</v>
      </c>
      <c r="I15" s="60" t="n">
        <f aca="false">SUM(I9:I14)</f>
        <v>523579.009090909</v>
      </c>
      <c r="J15" s="60" t="n">
        <f aca="false">SUM(J9:J14)</f>
        <v>568226.285909091</v>
      </c>
      <c r="K15" s="60" t="n">
        <f aca="false">SUM(K9:K14)</f>
        <v>566906.225909091</v>
      </c>
      <c r="L15" s="60" t="n">
        <f aca="false">SUM(L9:L14)</f>
        <v>574144.092727273</v>
      </c>
      <c r="M15" s="60" t="n">
        <f aca="false">SUM(M9:M14)</f>
        <v>661779.611575908</v>
      </c>
      <c r="N15" s="60" t="n">
        <f aca="false">SUM(N9:N14)</f>
        <v>563506.60055748</v>
      </c>
      <c r="O15" s="60" t="n">
        <f aca="false">SUM(O9:O14)</f>
        <v>585672.333198978</v>
      </c>
      <c r="P15" s="60" t="n">
        <f aca="false">SUM(P9:P14)</f>
        <v>597917.190471396</v>
      </c>
      <c r="Q15" s="60" t="n">
        <f aca="false">SUM(Q9:Q14)</f>
        <v>641074.675912336</v>
      </c>
      <c r="R15" s="60" t="n">
        <f aca="false">SUM(R9:R14)</f>
        <v>633115.340802301</v>
      </c>
      <c r="S15" s="60" t="n">
        <f aca="false">SUM(S9:S14)</f>
        <v>757581.95800571</v>
      </c>
      <c r="T15" s="60" t="n">
        <f aca="false">SUM(T9:T14)</f>
        <v>659160.643120203</v>
      </c>
      <c r="U15" s="60" t="n">
        <f aca="false">SUM(U9:U14)</f>
        <v>681634.132861944</v>
      </c>
      <c r="V15" s="60" t="n">
        <f aca="false">SUM(V9:V14)</f>
        <v>804015.768880625</v>
      </c>
      <c r="W15" s="60" t="n">
        <f aca="false">SUM(W9:W14)</f>
        <v>693553.307698635</v>
      </c>
      <c r="X15" s="60" t="n">
        <f aca="false">SUM(X9:X14)</f>
        <v>710548.889431038</v>
      </c>
      <c r="Y15" s="60" t="n">
        <f aca="false">SUM(Y9:Y14)</f>
        <v>768417.607374337</v>
      </c>
      <c r="Z15" s="60" t="n">
        <f aca="false">SUM(Z9:Z14)</f>
        <v>796036.464895734</v>
      </c>
      <c r="AA15" s="60" t="n">
        <f aca="false">SUM(AA9:AA14)</f>
        <v>783106.523039435</v>
      </c>
      <c r="AB15" s="60" t="n">
        <f aca="false">SUM(AB9:AB14)</f>
        <v>755626.688875146</v>
      </c>
    </row>
    <row r="16" customFormat="false" ht="15" hidden="false" customHeight="false" outlineLevel="0" collapsed="false">
      <c r="A16" s="22" t="s">
        <v>407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408</v>
      </c>
      <c r="B17" s="62" t="s">
        <v>53</v>
      </c>
      <c r="C17" s="64" t="n">
        <f aca="false">SUM(E17:P17)</f>
        <v>-211964.914756328</v>
      </c>
      <c r="D17" s="64" t="n">
        <f aca="false">SUM(Q17:AB17)</f>
        <v>-279286.668189913</v>
      </c>
      <c r="E17" s="65" t="n">
        <f aca="false">-Usage_Compute!E41</f>
        <v>-16454.630655193</v>
      </c>
      <c r="F17" s="65" t="n">
        <f aca="false">-Usage_Compute!F41</f>
        <v>-15833.3798528292</v>
      </c>
      <c r="G17" s="65" t="n">
        <f aca="false">-Usage_Compute!G41</f>
        <v>-16709.4653054162</v>
      </c>
      <c r="H17" s="65" t="n">
        <f aca="false">-Usage_Compute!H41</f>
        <v>-16380.166595472</v>
      </c>
      <c r="I17" s="65" t="n">
        <f aca="false">-Usage_Compute!I41</f>
        <v>-16767.5276278592</v>
      </c>
      <c r="J17" s="65" t="n">
        <f aca="false">-Usage_Compute!J41</f>
        <v>-17368.8330294348</v>
      </c>
      <c r="K17" s="65" t="n">
        <f aca="false">-Usage_Compute!K41</f>
        <v>-18512.7879477971</v>
      </c>
      <c r="L17" s="65" t="n">
        <f aca="false">-Usage_Compute!L41</f>
        <v>-18235.2669714483</v>
      </c>
      <c r="M17" s="65" t="n">
        <f aca="false">-Usage_Compute!M41</f>
        <v>-18560.2037430438</v>
      </c>
      <c r="N17" s="65" t="n">
        <f aca="false">-Usage_Compute!N41</f>
        <v>-18490.1127625627</v>
      </c>
      <c r="O17" s="65" t="n">
        <f aca="false">-Usage_Compute!O41</f>
        <v>-19037.2440364527</v>
      </c>
      <c r="P17" s="65" t="n">
        <f aca="false">-Usage_Compute!P41</f>
        <v>-19615.2962288195</v>
      </c>
      <c r="Q17" s="65" t="n">
        <f aca="false">-Usage_Compute!Q41</f>
        <v>-22095.3513471789</v>
      </c>
      <c r="R17" s="65" t="n">
        <f aca="false">-Usage_Compute!R41</f>
        <v>-22246.1209901301</v>
      </c>
      <c r="S17" s="65" t="n">
        <f aca="false">-Usage_Compute!S41</f>
        <v>-23233.2134376219</v>
      </c>
      <c r="T17" s="65" t="n">
        <f aca="false">-Usage_Compute!T41</f>
        <v>-22688.9434525719</v>
      </c>
      <c r="U17" s="65" t="n">
        <f aca="false">-Usage_Compute!U41</f>
        <v>-23395.4232343014</v>
      </c>
      <c r="V17" s="65" t="n">
        <f aca="false">-Usage_Compute!V41</f>
        <v>-23475.4715122083</v>
      </c>
      <c r="W17" s="65" t="n">
        <f aca="false">-Usage_Compute!W41</f>
        <v>-23203.3281852803</v>
      </c>
      <c r="X17" s="65" t="n">
        <f aca="false">-Usage_Compute!X41</f>
        <v>-23418.9830045889</v>
      </c>
      <c r="Y17" s="65" t="n">
        <f aca="false">-Usage_Compute!Y41</f>
        <v>-23710.5974705348</v>
      </c>
      <c r="Z17" s="65" t="n">
        <f aca="false">-Usage_Compute!Z41</f>
        <v>-23621.3238893215</v>
      </c>
      <c r="AA17" s="65" t="n">
        <f aca="false">-Usage_Compute!AA41</f>
        <v>-23851.0012134038</v>
      </c>
      <c r="AB17" s="65" t="n">
        <f aca="false">-Usage_Compute!AB41</f>
        <v>-24346.9104527707</v>
      </c>
    </row>
    <row r="18" customFormat="false" ht="15" hidden="false" customHeight="false" outlineLevel="0" collapsed="false">
      <c r="A18" s="28" t="s">
        <v>409</v>
      </c>
      <c r="B18" s="62" t="s">
        <v>53</v>
      </c>
      <c r="C18" s="64" t="n">
        <f aca="false">SUM(E18:P18)</f>
        <v>0</v>
      </c>
      <c r="D18" s="64" t="n">
        <f aca="false">SUM(Q18:AB18)</f>
        <v>0</v>
      </c>
      <c r="E18" s="65" t="n">
        <f aca="false">-Usage_Compute!E42</f>
        <v>-0</v>
      </c>
      <c r="F18" s="65" t="n">
        <f aca="false">-Usage_Compute!F42</f>
        <v>-0</v>
      </c>
      <c r="G18" s="65" t="n">
        <f aca="false">-Usage_Compute!G42</f>
        <v>-0</v>
      </c>
      <c r="H18" s="65" t="n">
        <f aca="false">-Usage_Compute!H42</f>
        <v>-0</v>
      </c>
      <c r="I18" s="65" t="n">
        <f aca="false">-Usage_Compute!I42</f>
        <v>-0</v>
      </c>
      <c r="J18" s="65" t="n">
        <f aca="false">-Usage_Compute!J42</f>
        <v>-0</v>
      </c>
      <c r="K18" s="65" t="n">
        <f aca="false">-Usage_Compute!K42</f>
        <v>-0</v>
      </c>
      <c r="L18" s="65" t="n">
        <f aca="false">-Usage_Compute!L42</f>
        <v>-0</v>
      </c>
      <c r="M18" s="65" t="n">
        <f aca="false">-Usage_Compute!M42</f>
        <v>-0</v>
      </c>
      <c r="N18" s="65" t="n">
        <f aca="false">-Usage_Compute!N42</f>
        <v>-0</v>
      </c>
      <c r="O18" s="65" t="n">
        <f aca="false">-Usage_Compute!O42</f>
        <v>-0</v>
      </c>
      <c r="P18" s="65" t="n">
        <f aca="false">-Usage_Compute!P42</f>
        <v>-0</v>
      </c>
      <c r="Q18" s="65" t="n">
        <f aca="false">-Usage_Compute!Q42</f>
        <v>-0</v>
      </c>
      <c r="R18" s="65" t="n">
        <f aca="false">-Usage_Compute!R42</f>
        <v>-0</v>
      </c>
      <c r="S18" s="65" t="n">
        <f aca="false">-Usage_Compute!S42</f>
        <v>-0</v>
      </c>
      <c r="T18" s="65" t="n">
        <f aca="false">-Usage_Compute!T42</f>
        <v>-0</v>
      </c>
      <c r="U18" s="65" t="n">
        <f aca="false">-Usage_Compute!U42</f>
        <v>-0</v>
      </c>
      <c r="V18" s="65" t="n">
        <f aca="false">-Usage_Compute!V42</f>
        <v>-0</v>
      </c>
      <c r="W18" s="65" t="n">
        <f aca="false">-Usage_Compute!W42</f>
        <v>-0</v>
      </c>
      <c r="X18" s="65" t="n">
        <f aca="false">-Usage_Compute!X42</f>
        <v>-0</v>
      </c>
      <c r="Y18" s="65" t="n">
        <f aca="false">-Usage_Compute!Y42</f>
        <v>-0</v>
      </c>
      <c r="Z18" s="65" t="n">
        <f aca="false">-Usage_Compute!Z42</f>
        <v>-0</v>
      </c>
      <c r="AA18" s="65" t="n">
        <f aca="false">-Usage_Compute!AA42</f>
        <v>-0</v>
      </c>
      <c r="AB18" s="65" t="n">
        <f aca="false">-Usage_Compute!AB42</f>
        <v>-0</v>
      </c>
    </row>
    <row r="19" customFormat="false" ht="15" hidden="false" customHeight="false" outlineLevel="0" collapsed="false">
      <c r="A19" s="28" t="s">
        <v>410</v>
      </c>
      <c r="B19" s="62" t="s">
        <v>53</v>
      </c>
      <c r="C19" s="64" t="n">
        <f aca="false">SUM(E19:P19)</f>
        <v>-994952.490817297</v>
      </c>
      <c r="D19" s="64" t="n">
        <f aca="false">SUM(Q19:AB19)</f>
        <v>-1190994.66419208</v>
      </c>
      <c r="E19" s="65" t="n">
        <f aca="false">-Usage_Compute!E44</f>
        <v>-77180.9832154724</v>
      </c>
      <c r="F19" s="65" t="n">
        <f aca="false">-Usage_Compute!F44</f>
        <v>-78954.1909836759</v>
      </c>
      <c r="G19" s="65" t="n">
        <f aca="false">-Usage_Compute!G44</f>
        <v>-79649.1001903444</v>
      </c>
      <c r="H19" s="65" t="n">
        <f aca="false">-Usage_Compute!H44</f>
        <v>-78257.7958137548</v>
      </c>
      <c r="I19" s="65" t="n">
        <f aca="false">-Usage_Compute!I44</f>
        <v>-85444.3073759959</v>
      </c>
      <c r="J19" s="65" t="n">
        <f aca="false">-Usage_Compute!J44</f>
        <v>-84994.0262221065</v>
      </c>
      <c r="K19" s="65" t="n">
        <f aca="false">-Usage_Compute!K44</f>
        <v>-93711.4916352807</v>
      </c>
      <c r="L19" s="65" t="n">
        <f aca="false">-Usage_Compute!L44</f>
        <v>-93729.3970499439</v>
      </c>
      <c r="M19" s="65" t="n">
        <f aca="false">-Usage_Compute!M44</f>
        <v>-95713.6103026074</v>
      </c>
      <c r="N19" s="65" t="n">
        <f aca="false">-Usage_Compute!N44</f>
        <v>-73230.1770793241</v>
      </c>
      <c r="O19" s="65" t="n">
        <f aca="false">-Usage_Compute!O44</f>
        <v>-75966.2996255207</v>
      </c>
      <c r="P19" s="65" t="n">
        <f aca="false">-Usage_Compute!P44</f>
        <v>-78121.11132327</v>
      </c>
      <c r="Q19" s="65" t="n">
        <f aca="false">-Usage_Compute!Q44</f>
        <v>-88830.5730550386</v>
      </c>
      <c r="R19" s="65" t="n">
        <f aca="false">-Usage_Compute!R44</f>
        <v>-91265.5301141447</v>
      </c>
      <c r="S19" s="65" t="n">
        <f aca="false">-Usage_Compute!S44</f>
        <v>-94299.5666182431</v>
      </c>
      <c r="T19" s="65" t="n">
        <f aca="false">-Usage_Compute!T44</f>
        <v>-95077.7206740768</v>
      </c>
      <c r="U19" s="65" t="n">
        <f aca="false">-Usage_Compute!U44</f>
        <v>-98007.4579626838</v>
      </c>
      <c r="V19" s="65" t="n">
        <f aca="false">-Usage_Compute!V44</f>
        <v>-99129.5372315117</v>
      </c>
      <c r="W19" s="65" t="n">
        <f aca="false">-Usage_Compute!W44</f>
        <v>-100067.584885833</v>
      </c>
      <c r="X19" s="65" t="n">
        <f aca="false">-Usage_Compute!X44</f>
        <v>-101034.507568744</v>
      </c>
      <c r="Y19" s="65" t="n">
        <f aca="false">-Usage_Compute!Y44</f>
        <v>-102929.431786542</v>
      </c>
      <c r="Z19" s="65" t="n">
        <f aca="false">-Usage_Compute!Z44</f>
        <v>-104956.077359203</v>
      </c>
      <c r="AA19" s="65" t="n">
        <f aca="false">-Usage_Compute!AA44</f>
        <v>-106742.81813714</v>
      </c>
      <c r="AB19" s="65" t="n">
        <f aca="false">-Usage_Compute!AB44</f>
        <v>-108653.85879892</v>
      </c>
    </row>
    <row r="20" customFormat="false" ht="15" hidden="false" customHeight="false" outlineLevel="0" collapsed="false">
      <c r="A20" s="28" t="s">
        <v>411</v>
      </c>
      <c r="B20" s="62" t="s">
        <v>53</v>
      </c>
      <c r="C20" s="64" t="n">
        <f aca="false">SUM(E20:P20)</f>
        <v>-113203.523703303</v>
      </c>
      <c r="D20" s="64" t="n">
        <f aca="false">SUM(Q20:AB20)</f>
        <v>-167842.113701418</v>
      </c>
      <c r="E20" s="65" t="n">
        <f aca="false">-Usage_Compute!E45</f>
        <v>-8172.87</v>
      </c>
      <c r="F20" s="65" t="n">
        <f aca="false">-Usage_Compute!F45</f>
        <v>-8429.57</v>
      </c>
      <c r="G20" s="65" t="n">
        <f aca="false">-Usage_Compute!G45</f>
        <v>-8033.9</v>
      </c>
      <c r="H20" s="65" t="n">
        <f aca="false">-Usage_Compute!H45</f>
        <v>-8834.88</v>
      </c>
      <c r="I20" s="65" t="n">
        <f aca="false">-Usage_Compute!I45</f>
        <v>-9004.17</v>
      </c>
      <c r="J20" s="65" t="n">
        <f aca="false">-Usage_Compute!J45</f>
        <v>-9240.64</v>
      </c>
      <c r="K20" s="65" t="n">
        <f aca="false">-Usage_Compute!K45</f>
        <v>-9844.35</v>
      </c>
      <c r="L20" s="65" t="n">
        <f aca="false">-Usage_Compute!L45</f>
        <v>-9871.04</v>
      </c>
      <c r="M20" s="65" t="n">
        <f aca="false">-Usage_Compute!M45</f>
        <v>-9998.79700586248</v>
      </c>
      <c r="N20" s="65" t="n">
        <f aca="false">-Usage_Compute!N45</f>
        <v>-10170.8811115552</v>
      </c>
      <c r="O20" s="65" t="n">
        <f aca="false">-Usage_Compute!O45</f>
        <v>-10610.6259221481</v>
      </c>
      <c r="P20" s="65" t="n">
        <f aca="false">-Usage_Compute!P45</f>
        <v>-10991.7996637373</v>
      </c>
      <c r="Q20" s="65" t="n">
        <f aca="false">-Usage_Compute!Q45</f>
        <v>-12514.0722463055</v>
      </c>
      <c r="R20" s="65" t="n">
        <f aca="false">-Usage_Compute!R45</f>
        <v>-12861.9534597654</v>
      </c>
      <c r="S20" s="65" t="n">
        <f aca="false">-Usage_Compute!S45</f>
        <v>-13208.3483632183</v>
      </c>
      <c r="T20" s="65" t="n">
        <f aca="false">-Usage_Compute!T45</f>
        <v>-13350.8225394132</v>
      </c>
      <c r="U20" s="65" t="n">
        <f aca="false">-Usage_Compute!U45</f>
        <v>-13776.8785607132</v>
      </c>
      <c r="V20" s="65" t="n">
        <f aca="false">-Usage_Compute!V45</f>
        <v>-13899.4931066002</v>
      </c>
      <c r="W20" s="65" t="n">
        <f aca="false">-Usage_Compute!W45</f>
        <v>-14077.7959226185</v>
      </c>
      <c r="X20" s="65" t="n">
        <f aca="false">-Usage_Compute!X45</f>
        <v>-14239.4198105958</v>
      </c>
      <c r="Y20" s="65" t="n">
        <f aca="false">-Usage_Compute!Y45</f>
        <v>-14583.2671517294</v>
      </c>
      <c r="Z20" s="65" t="n">
        <f aca="false">-Usage_Compute!Z45</f>
        <v>-14845.8698719591</v>
      </c>
      <c r="AA20" s="65" t="n">
        <f aca="false">-Usage_Compute!AA45</f>
        <v>-15106.5440359835</v>
      </c>
      <c r="AB20" s="65" t="n">
        <f aca="false">-Usage_Compute!AB45</f>
        <v>-15377.6486325164</v>
      </c>
    </row>
    <row r="21" customFormat="false" ht="15" hidden="false" customHeight="false" outlineLevel="0" collapsed="false">
      <c r="A21" s="28" t="s">
        <v>412</v>
      </c>
      <c r="B21" s="62" t="s">
        <v>53</v>
      </c>
      <c r="C21" s="64" t="n">
        <f aca="false">SUM(E21:P21)</f>
        <v>-339924.141514432</v>
      </c>
      <c r="D21" s="64" t="n">
        <f aca="false">SUM(Q21:AB21)</f>
        <v>-413553.876997442</v>
      </c>
      <c r="E21" s="65" t="n">
        <f aca="false">-Usage_Compute!E43</f>
        <v>-27265.9027008605</v>
      </c>
      <c r="F21" s="65" t="n">
        <f aca="false">-Usage_Compute!F43</f>
        <v>-26363.7063351095</v>
      </c>
      <c r="G21" s="65" t="n">
        <f aca="false">-Usage_Compute!G43</f>
        <v>-25891.2268558574</v>
      </c>
      <c r="H21" s="65" t="n">
        <f aca="false">-Usage_Compute!H43</f>
        <v>-25947.8257155062</v>
      </c>
      <c r="I21" s="65" t="n">
        <f aca="false">-Usage_Compute!I43</f>
        <v>-25984.5369656472</v>
      </c>
      <c r="J21" s="65" t="n">
        <f aca="false">-Usage_Compute!J43</f>
        <v>-28926.8125379873</v>
      </c>
      <c r="K21" s="65" t="n">
        <f aca="false">-Usage_Compute!K43</f>
        <v>-30399.7722694228</v>
      </c>
      <c r="L21" s="65" t="n">
        <f aca="false">-Usage_Compute!L43</f>
        <v>-30151.9106357285</v>
      </c>
      <c r="M21" s="65" t="n">
        <f aca="false">-Usage_Compute!M43</f>
        <v>-29156.8029893831</v>
      </c>
      <c r="N21" s="65" t="n">
        <f aca="false">-Usage_Compute!N43</f>
        <v>-29414.2165665902</v>
      </c>
      <c r="O21" s="65" t="n">
        <f aca="false">-Usage_Compute!O43</f>
        <v>-29986.5902408908</v>
      </c>
      <c r="P21" s="65" t="n">
        <f aca="false">-Usage_Compute!P43</f>
        <v>-30434.8377014479</v>
      </c>
      <c r="Q21" s="65" t="n">
        <f aca="false">-Usage_Compute!Q43</f>
        <v>-32467.9997034196</v>
      </c>
      <c r="R21" s="65" t="n">
        <f aca="false">-Usage_Compute!R43</f>
        <v>-32938.9146636777</v>
      </c>
      <c r="S21" s="65" t="n">
        <f aca="false">-Usage_Compute!S43</f>
        <v>-33478.1344546543</v>
      </c>
      <c r="T21" s="65" t="n">
        <f aca="false">-Usage_Compute!T43</f>
        <v>-33640.7384009726</v>
      </c>
      <c r="U21" s="65" t="n">
        <f aca="false">-Usage_Compute!U43</f>
        <v>-34197.8403709259</v>
      </c>
      <c r="V21" s="65" t="n">
        <f aca="false">-Usage_Compute!V43</f>
        <v>-34383.5175897512</v>
      </c>
      <c r="W21" s="65" t="n">
        <f aca="false">-Usage_Compute!W43</f>
        <v>-34588.569100481</v>
      </c>
      <c r="X21" s="65" t="n">
        <f aca="false">-Usage_Compute!X43</f>
        <v>-34797.7950872142</v>
      </c>
      <c r="Y21" s="65" t="n">
        <f aca="false">-Usage_Compute!Y43</f>
        <v>-35212.7726526984</v>
      </c>
      <c r="Z21" s="65" t="n">
        <f aca="false">-Usage_Compute!Z43</f>
        <v>-35591.917320399</v>
      </c>
      <c r="AA21" s="65" t="n">
        <f aca="false">-Usage_Compute!AA43</f>
        <v>-35942.7019967296</v>
      </c>
      <c r="AB21" s="65" t="n">
        <f aca="false">-Usage_Compute!AB43</f>
        <v>-36312.9756565185</v>
      </c>
    </row>
    <row r="22" customFormat="false" ht="15" hidden="false" customHeight="false" outlineLevel="0" collapsed="false">
      <c r="A22" s="28" t="s">
        <v>413</v>
      </c>
      <c r="B22" s="62" t="s">
        <v>55</v>
      </c>
      <c r="C22" s="64" t="n">
        <f aca="false">SUM(E22:P22)</f>
        <v>-99021.9466393482</v>
      </c>
      <c r="D22" s="64" t="n">
        <f aca="false">SUM(Q22:AB22)</f>
        <v>0</v>
      </c>
      <c r="E22" s="65" t="n">
        <f aca="false">-Commitments!E19</f>
        <v>-0</v>
      </c>
      <c r="F22" s="65" t="n">
        <f aca="false">-Commitments!F19</f>
        <v>-0</v>
      </c>
      <c r="G22" s="65" t="n">
        <f aca="false">-Commitments!G19</f>
        <v>-0</v>
      </c>
      <c r="H22" s="65" t="n">
        <f aca="false">-Commitments!H19</f>
        <v>-0</v>
      </c>
      <c r="I22" s="65" t="n">
        <f aca="false">-Commitments!I19</f>
        <v>-0</v>
      </c>
      <c r="J22" s="65" t="n">
        <f aca="false">-Commitments!J19</f>
        <v>-47755.4918815664</v>
      </c>
      <c r="K22" s="65" t="n">
        <f aca="false">-Commitments!K19</f>
        <v>-22315.4549521027</v>
      </c>
      <c r="L22" s="65" t="n">
        <f aca="false">-Commitments!L19</f>
        <v>-27832.9606967372</v>
      </c>
      <c r="M22" s="65" t="n">
        <f aca="false">-Commitments!M19</f>
        <v>-1118.03910894193</v>
      </c>
      <c r="N22" s="65" t="n">
        <f aca="false">-Commitments!N19</f>
        <v>-0</v>
      </c>
      <c r="O22" s="65" t="n">
        <f aca="false">-Commitments!O19</f>
        <v>-0</v>
      </c>
      <c r="P22" s="65" t="n">
        <f aca="false">-Commitments!P19</f>
        <v>-0</v>
      </c>
      <c r="Q22" s="65" t="n">
        <f aca="false">-Commitments!Q19</f>
        <v>-0</v>
      </c>
      <c r="R22" s="65" t="n">
        <f aca="false">-Commitments!R19</f>
        <v>-0</v>
      </c>
      <c r="S22" s="65" t="n">
        <f aca="false">-Commitments!S19</f>
        <v>-0</v>
      </c>
      <c r="T22" s="65" t="n">
        <f aca="false">-Commitments!T19</f>
        <v>-0</v>
      </c>
      <c r="U22" s="65" t="n">
        <f aca="false">-Commitments!U19</f>
        <v>-0</v>
      </c>
      <c r="V22" s="65" t="n">
        <f aca="false">-Commitments!V19</f>
        <v>-0</v>
      </c>
      <c r="W22" s="65" t="n">
        <f aca="false">-Commitments!W19</f>
        <v>-0</v>
      </c>
      <c r="X22" s="65" t="n">
        <f aca="false">-Commitments!X19</f>
        <v>-0</v>
      </c>
      <c r="Y22" s="65" t="n">
        <f aca="false">-Commitments!Y19</f>
        <v>-0</v>
      </c>
      <c r="Z22" s="65" t="n">
        <f aca="false">-Commitments!Z19</f>
        <v>-0</v>
      </c>
      <c r="AA22" s="65" t="n">
        <f aca="false">-Commitments!AA19</f>
        <v>-0</v>
      </c>
      <c r="AB22" s="65" t="n">
        <f aca="false">-Commitments!AB19</f>
        <v>-0</v>
      </c>
    </row>
    <row r="23" customFormat="false" ht="15" hidden="false" customHeight="false" outlineLevel="0" collapsed="false">
      <c r="A23" s="28" t="s">
        <v>414</v>
      </c>
      <c r="B23" s="62" t="s">
        <v>65</v>
      </c>
      <c r="C23" s="64" t="n">
        <f aca="false">SUM(E23:P23)</f>
        <v>-76850.2156900694</v>
      </c>
      <c r="D23" s="64" t="n">
        <f aca="false">SUM(Q23:AB23)</f>
        <v>-97389.1553002925</v>
      </c>
      <c r="E23" s="65" t="n">
        <f aca="false">-Receivables!E10</f>
        <v>-5639.98</v>
      </c>
      <c r="F23" s="65" t="n">
        <f aca="false">-Receivables!F10</f>
        <v>-5763.05</v>
      </c>
      <c r="G23" s="65" t="n">
        <f aca="false">-Receivables!G10</f>
        <v>-6071.85</v>
      </c>
      <c r="H23" s="65" t="n">
        <f aca="false">-Receivables!H10</f>
        <v>-5962.55</v>
      </c>
      <c r="I23" s="65" t="n">
        <f aca="false">-Receivables!I10</f>
        <v>-6279.26</v>
      </c>
      <c r="J23" s="65" t="n">
        <f aca="false">-Receivables!J10</f>
        <v>-6407.25</v>
      </c>
      <c r="K23" s="65" t="n">
        <f aca="false">-Receivables!K10</f>
        <v>-6447.74</v>
      </c>
      <c r="L23" s="65" t="n">
        <f aca="false">-Receivables!L10</f>
        <v>-6341.18</v>
      </c>
      <c r="M23" s="65" t="n">
        <f aca="false">-Receivables!M10</f>
        <v>-6792.57963039181</v>
      </c>
      <c r="N23" s="65" t="n">
        <f aca="false">-Receivables!N10</f>
        <v>-6976.3668303962</v>
      </c>
      <c r="O23" s="65" t="n">
        <f aca="false">-Receivables!O10</f>
        <v>-7071.62740217354</v>
      </c>
      <c r="P23" s="65" t="n">
        <f aca="false">-Receivables!P10</f>
        <v>-7096.78182710785</v>
      </c>
      <c r="Q23" s="65" t="n">
        <f aca="false">-Receivables!Q10</f>
        <v>-7434.0359198086</v>
      </c>
      <c r="R23" s="65" t="n">
        <f aca="false">-Receivables!R10</f>
        <v>-7526.75955702791</v>
      </c>
      <c r="S23" s="65" t="n">
        <f aca="false">-Receivables!S10</f>
        <v>-7727.63071749729</v>
      </c>
      <c r="T23" s="65" t="n">
        <f aca="false">-Receivables!T10</f>
        <v>-7766.68848313978</v>
      </c>
      <c r="U23" s="65" t="n">
        <f aca="false">-Receivables!U10</f>
        <v>-7881.81599486085</v>
      </c>
      <c r="V23" s="65" t="n">
        <f aca="false">-Receivables!V10</f>
        <v>-8060.27895977332</v>
      </c>
      <c r="W23" s="65" t="n">
        <f aca="false">-Receivables!W10</f>
        <v>-7999.74584263958</v>
      </c>
      <c r="X23" s="65" t="n">
        <f aca="false">-Receivables!X10</f>
        <v>-7814.46046725219</v>
      </c>
      <c r="Y23" s="65" t="n">
        <f aca="false">-Receivables!Y10</f>
        <v>-8592.67265477062</v>
      </c>
      <c r="Z23" s="65" t="n">
        <f aca="false">-Receivables!Z10</f>
        <v>-8803.56428494637</v>
      </c>
      <c r="AA23" s="65" t="n">
        <f aca="false">-Receivables!AA10</f>
        <v>-8892.64898000503</v>
      </c>
      <c r="AB23" s="65" t="n">
        <f aca="false">-Receivables!AB10</f>
        <v>-8888.85343857101</v>
      </c>
    </row>
    <row r="24" customFormat="false" ht="15" hidden="false" customHeight="false" outlineLevel="0" collapsed="false">
      <c r="A24" s="28" t="s">
        <v>415</v>
      </c>
      <c r="B24" s="62" t="s">
        <v>61</v>
      </c>
      <c r="C24" s="64" t="n">
        <f aca="false">SUM(E24:P24)</f>
        <v>-907248.01493052</v>
      </c>
      <c r="D24" s="64" t="n">
        <f aca="false">SUM(Q24:AB24)</f>
        <v>-1156043.35913792</v>
      </c>
      <c r="E24" s="65" t="n">
        <f aca="false">-People!E223</f>
        <v>-69282.2839939259</v>
      </c>
      <c r="F24" s="65" t="n">
        <f aca="false">-People!F223</f>
        <v>-65313.6192071183</v>
      </c>
      <c r="G24" s="65" t="n">
        <f aca="false">-People!G223</f>
        <v>-74615.3620815596</v>
      </c>
      <c r="H24" s="65" t="n">
        <f aca="false">-People!H223</f>
        <v>-71399.9407807252</v>
      </c>
      <c r="I24" s="65" t="n">
        <f aca="false">-People!I223</f>
        <v>-77266.9322844313</v>
      </c>
      <c r="J24" s="65" t="n">
        <f aca="false">-People!J223</f>
        <v>-80438.9827657604</v>
      </c>
      <c r="K24" s="65" t="n">
        <f aca="false">-People!K223</f>
        <v>-72218.0166469803</v>
      </c>
      <c r="L24" s="65" t="n">
        <f aca="false">-People!L223</f>
        <v>-58681.5098569869</v>
      </c>
      <c r="M24" s="65" t="n">
        <f aca="false">-People!M223</f>
        <v>-81735.2513063725</v>
      </c>
      <c r="N24" s="65" t="n">
        <f aca="false">-People!N223</f>
        <v>-85448.7029791395</v>
      </c>
      <c r="O24" s="65" t="n">
        <f aca="false">-People!O223</f>
        <v>-87359.536922193</v>
      </c>
      <c r="P24" s="65" t="n">
        <f aca="false">-People!P223</f>
        <v>-83487.876105327</v>
      </c>
      <c r="Q24" s="65" t="n">
        <f aca="false">-People!Q223</f>
        <v>-97280.7796910012</v>
      </c>
      <c r="R24" s="65" t="n">
        <f aca="false">-People!R223</f>
        <v>-91919.118819257</v>
      </c>
      <c r="S24" s="65" t="n">
        <f aca="false">-People!S223</f>
        <v>-96174.4373927913</v>
      </c>
      <c r="T24" s="65" t="n">
        <f aca="false">-People!T223</f>
        <v>-98053.8666290876</v>
      </c>
      <c r="U24" s="65" t="n">
        <f aca="false">-People!U223</f>
        <v>-97231.6966962912</v>
      </c>
      <c r="V24" s="65" t="n">
        <f aca="false">-People!V223</f>
        <v>-101645.567709525</v>
      </c>
      <c r="W24" s="65" t="n">
        <f aca="false">-People!W223</f>
        <v>-89099.7044813547</v>
      </c>
      <c r="X24" s="65" t="n">
        <f aca="false">-People!X223</f>
        <v>-75744.5226205745</v>
      </c>
      <c r="Y24" s="65" t="n">
        <f aca="false">-People!Y223</f>
        <v>-103923.613632522</v>
      </c>
      <c r="Z24" s="65" t="n">
        <f aca="false">-People!Z223</f>
        <v>-101656.638566591</v>
      </c>
      <c r="AA24" s="65" t="n">
        <f aca="false">-People!AA223</f>
        <v>-103910.070000691</v>
      </c>
      <c r="AB24" s="65" t="n">
        <f aca="false">-People!AB223</f>
        <v>-99403.3428982313</v>
      </c>
    </row>
    <row r="25" customFormat="false" ht="15" hidden="false" customHeight="false" outlineLevel="0" collapsed="false">
      <c r="A25" s="58" t="s">
        <v>416</v>
      </c>
      <c r="B25" s="59"/>
      <c r="C25" s="60" t="n">
        <f aca="false">SUM(E25:P25)</f>
        <v>-2743165.2480513</v>
      </c>
      <c r="D25" s="60" t="n">
        <f aca="false">SUM(Q25:AB25)</f>
        <v>-3305109.83751906</v>
      </c>
      <c r="E25" s="60" t="n">
        <f aca="false">SUM(E17:E24)</f>
        <v>-203996.650565452</v>
      </c>
      <c r="F25" s="60" t="n">
        <f aca="false">SUM(F17:F24)</f>
        <v>-200657.516378733</v>
      </c>
      <c r="G25" s="60" t="n">
        <f aca="false">SUM(G17:G24)</f>
        <v>-210970.904433178</v>
      </c>
      <c r="H25" s="60" t="n">
        <f aca="false">SUM(H17:H24)</f>
        <v>-206783.158905458</v>
      </c>
      <c r="I25" s="60" t="n">
        <f aca="false">SUM(I17:I24)</f>
        <v>-220746.734253934</v>
      </c>
      <c r="J25" s="60" t="n">
        <f aca="false">SUM(J17:J24)</f>
        <v>-275132.036436855</v>
      </c>
      <c r="K25" s="60" t="n">
        <f aca="false">SUM(K17:K24)</f>
        <v>-253449.613451584</v>
      </c>
      <c r="L25" s="60" t="n">
        <f aca="false">SUM(L17:L24)</f>
        <v>-244843.265210845</v>
      </c>
      <c r="M25" s="60" t="n">
        <f aca="false">SUM(M17:M24)</f>
        <v>-243075.284086603</v>
      </c>
      <c r="N25" s="60" t="n">
        <f aca="false">SUM(N17:N24)</f>
        <v>-223730.457329568</v>
      </c>
      <c r="O25" s="60" t="n">
        <f aca="false">SUM(O17:O24)</f>
        <v>-230031.924149379</v>
      </c>
      <c r="P25" s="60" t="n">
        <f aca="false">SUM(P17:P24)</f>
        <v>-229747.70284971</v>
      </c>
      <c r="Q25" s="60" t="n">
        <f aca="false">SUM(Q17:Q24)</f>
        <v>-260622.811962752</v>
      </c>
      <c r="R25" s="60" t="n">
        <f aca="false">SUM(R17:R24)</f>
        <v>-258758.397604003</v>
      </c>
      <c r="S25" s="60" t="n">
        <f aca="false">SUM(S17:S24)</f>
        <v>-268121.330984026</v>
      </c>
      <c r="T25" s="60" t="n">
        <f aca="false">SUM(T17:T24)</f>
        <v>-270578.780179262</v>
      </c>
      <c r="U25" s="60" t="n">
        <f aca="false">SUM(U17:U24)</f>
        <v>-274491.112819776</v>
      </c>
      <c r="V25" s="60" t="n">
        <f aca="false">SUM(V17:V24)</f>
        <v>-280593.86610937</v>
      </c>
      <c r="W25" s="60" t="n">
        <f aca="false">SUM(W17:W24)</f>
        <v>-269036.728418207</v>
      </c>
      <c r="X25" s="60" t="n">
        <f aca="false">SUM(X17:X24)</f>
        <v>-257049.68855897</v>
      </c>
      <c r="Y25" s="60" t="n">
        <f aca="false">SUM(Y17:Y24)</f>
        <v>-288952.355348797</v>
      </c>
      <c r="Z25" s="60" t="n">
        <f aca="false">SUM(Z17:Z24)</f>
        <v>-289475.39129242</v>
      </c>
      <c r="AA25" s="60" t="n">
        <f aca="false">SUM(AA17:AA24)</f>
        <v>-294445.784363953</v>
      </c>
      <c r="AB25" s="60" t="n">
        <f aca="false">SUM(AB17:AB24)</f>
        <v>-292983.589877528</v>
      </c>
    </row>
    <row r="26" customFormat="false" ht="15" hidden="false" customHeight="false" outlineLevel="0" collapsed="false">
      <c r="A26" s="58" t="s">
        <v>417</v>
      </c>
      <c r="B26" s="59" t="s">
        <v>418</v>
      </c>
      <c r="C26" s="60" t="n">
        <f aca="false">SUM(E26:P26)</f>
        <v>3872062.89684337</v>
      </c>
      <c r="D26" s="60" t="n">
        <f aca="false">SUM(Q26:AB26)</f>
        <v>5378762.16337838</v>
      </c>
      <c r="E26" s="60" t="n">
        <f aca="false">E15+E25</f>
        <v>292463.015343639</v>
      </c>
      <c r="F26" s="60" t="n">
        <f aca="false">F15+F25</f>
        <v>274229.692257631</v>
      </c>
      <c r="G26" s="60" t="n">
        <f aca="false">G15+G25</f>
        <v>302209.009203186</v>
      </c>
      <c r="H26" s="60" t="n">
        <f aca="false">H15+H25</f>
        <v>282186.848367269</v>
      </c>
      <c r="I26" s="60" t="n">
        <f aca="false">I15+I25</f>
        <v>302832.274836976</v>
      </c>
      <c r="J26" s="60" t="n">
        <f aca="false">J15+J25</f>
        <v>293094.249472236</v>
      </c>
      <c r="K26" s="60" t="n">
        <f aca="false">K15+K25</f>
        <v>313456.612457507</v>
      </c>
      <c r="L26" s="60" t="n">
        <f aca="false">L15+L25</f>
        <v>329300.827516428</v>
      </c>
      <c r="M26" s="60" t="n">
        <f aca="false">M15+M25</f>
        <v>418704.327489305</v>
      </c>
      <c r="N26" s="60" t="n">
        <f aca="false">N15+N25</f>
        <v>339776.143227913</v>
      </c>
      <c r="O26" s="60" t="n">
        <f aca="false">O15+O25</f>
        <v>355640.409049599</v>
      </c>
      <c r="P26" s="60" t="n">
        <f aca="false">P15+P25</f>
        <v>368169.487621686</v>
      </c>
      <c r="Q26" s="60" t="n">
        <f aca="false">Q15+Q25</f>
        <v>380451.863949584</v>
      </c>
      <c r="R26" s="60" t="n">
        <f aca="false">R15+R25</f>
        <v>374356.943198298</v>
      </c>
      <c r="S26" s="60" t="n">
        <f aca="false">S15+S25</f>
        <v>489460.627021683</v>
      </c>
      <c r="T26" s="60" t="n">
        <f aca="false">T15+T25</f>
        <v>388581.862940941</v>
      </c>
      <c r="U26" s="60" t="n">
        <f aca="false">U15+U25</f>
        <v>407143.020042167</v>
      </c>
      <c r="V26" s="60" t="n">
        <f aca="false">V15+V25</f>
        <v>523421.902771255</v>
      </c>
      <c r="W26" s="60" t="n">
        <f aca="false">W15+W25</f>
        <v>424516.579280427</v>
      </c>
      <c r="X26" s="60" t="n">
        <f aca="false">X15+X25</f>
        <v>453499.200872068</v>
      </c>
      <c r="Y26" s="60" t="n">
        <f aca="false">Y15+Y25</f>
        <v>479465.252025539</v>
      </c>
      <c r="Z26" s="60" t="n">
        <f aca="false">Z15+Z25</f>
        <v>506561.073603314</v>
      </c>
      <c r="AA26" s="60" t="n">
        <f aca="false">AA15+AA25</f>
        <v>488660.738675482</v>
      </c>
      <c r="AB26" s="60" t="n">
        <f aca="false">AB15+AB25</f>
        <v>462643.098997618</v>
      </c>
    </row>
    <row r="27" customFormat="false" ht="15" hidden="false" customHeight="false" outlineLevel="0" collapsed="false">
      <c r="A27" s="28" t="s">
        <v>419</v>
      </c>
      <c r="B27" s="62"/>
      <c r="C27" s="66" t="n">
        <f aca="false">IF(C15=0,0,C26/C15)</f>
        <v>0.585325677668676</v>
      </c>
      <c r="D27" s="66" t="n">
        <f aca="false">IF(D15=0,0,D26/D15)</f>
        <v>0.619396757900451</v>
      </c>
      <c r="E27" s="75" t="n">
        <f aca="false">IF(E15=0,0,E26/E15)</f>
        <v>0.589097232718989</v>
      </c>
      <c r="F27" s="75" t="n">
        <f aca="false">IF(F15=0,0,F26/F15)</f>
        <v>0.577462789627625</v>
      </c>
      <c r="G27" s="75" t="n">
        <f aca="false">IF(G15=0,0,G26/G15)</f>
        <v>0.588894851830327</v>
      </c>
      <c r="H27" s="75" t="n">
        <f aca="false">IF(H15=0,0,H26/H15)</f>
        <v>0.577104616173067</v>
      </c>
      <c r="I27" s="75" t="n">
        <f aca="false">IF(I15=0,0,I26/I15)</f>
        <v>0.578388876518911</v>
      </c>
      <c r="J27" s="75" t="n">
        <f aca="false">IF(J15=0,0,J26/J15)</f>
        <v>0.515805510481307</v>
      </c>
      <c r="K27" s="75" t="n">
        <f aca="false">IF(K15=0,0,K26/K15)</f>
        <v>0.552924977944718</v>
      </c>
      <c r="L27" s="75" t="n">
        <f aca="false">IF(L15=0,0,L26/L15)</f>
        <v>0.573550841483361</v>
      </c>
      <c r="M27" s="75" t="n">
        <f aca="false">IF(M15=0,0,M26/M15)</f>
        <v>0.632694510627544</v>
      </c>
      <c r="N27" s="75" t="n">
        <f aca="false">IF(N15=0,0,N26/N15)</f>
        <v>0.602967459284008</v>
      </c>
      <c r="O27" s="75" t="n">
        <f aca="false">IF(O15=0,0,O26/O15)</f>
        <v>0.607234436202696</v>
      </c>
      <c r="P27" s="75" t="n">
        <f aca="false">IF(P15=0,0,P26/P15)</f>
        <v>0.615753307462899</v>
      </c>
      <c r="Q27" s="75" t="n">
        <f aca="false">IF(Q15=0,0,Q26/Q15)</f>
        <v>0.593459511418306</v>
      </c>
      <c r="R27" s="75" t="n">
        <f aca="false">IF(R15=0,0,R26/R15)</f>
        <v>0.591293432763614</v>
      </c>
      <c r="S27" s="75" t="n">
        <f aca="false">IF(S15=0,0,S26/S15)</f>
        <v>0.646082739760804</v>
      </c>
      <c r="T27" s="75" t="n">
        <f aca="false">IF(T15=0,0,T26/T15)</f>
        <v>0.589510109556223</v>
      </c>
      <c r="U27" s="75" t="n">
        <f aca="false">IF(U15=0,0,U26/U15)</f>
        <v>0.597304331478701</v>
      </c>
      <c r="V27" s="75" t="n">
        <f aca="false">IF(V15=0,0,V26/V15)</f>
        <v>0.651009498855947</v>
      </c>
      <c r="W27" s="75" t="n">
        <f aca="false">IF(W15=0,0,W26/W15)</f>
        <v>0.612089329786442</v>
      </c>
      <c r="X27" s="75" t="n">
        <f aca="false">IF(X15=0,0,X26/X15)</f>
        <v>0.638237857545877</v>
      </c>
      <c r="Y27" s="75" t="n">
        <f aca="false">IF(Y15=0,0,Y26/Y15)</f>
        <v>0.623964426926473</v>
      </c>
      <c r="Z27" s="75" t="n">
        <f aca="false">IF(Z15=0,0,Z26/Z15)</f>
        <v>0.636354106805477</v>
      </c>
      <c r="AA27" s="75" t="n">
        <f aca="false">IF(AA15=0,0,AA26/AA15)</f>
        <v>0.62400289653937</v>
      </c>
      <c r="AB27" s="75" t="n">
        <f aca="false">IF(AB15=0,0,AB26/AB15)</f>
        <v>0.612264105819668</v>
      </c>
    </row>
    <row r="28" customFormat="false" ht="15" hidden="false" customHeight="false" outlineLevel="0" collapsed="false">
      <c r="A28" s="22" t="s">
        <v>420</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421</v>
      </c>
      <c r="B29" s="62" t="s">
        <v>61</v>
      </c>
      <c r="C29" s="64" t="n">
        <f aca="false">SUM(E29:P29)</f>
        <v>-5060205.16134665</v>
      </c>
      <c r="D29" s="64" t="n">
        <f aca="false">SUM(Q29:AB29)</f>
        <v>-5798415.74275821</v>
      </c>
      <c r="E29" s="65" t="n">
        <f aca="false">-People!E221</f>
        <v>-426416.046639884</v>
      </c>
      <c r="F29" s="65" t="n">
        <f aca="false">-People!F221</f>
        <v>-414775.524048139</v>
      </c>
      <c r="G29" s="65" t="n">
        <f aca="false">-People!G221</f>
        <v>-440616.24893079</v>
      </c>
      <c r="H29" s="65" t="n">
        <f aca="false">-People!H221</f>
        <v>-432126.20029217</v>
      </c>
      <c r="I29" s="65" t="n">
        <f aca="false">-People!I221</f>
        <v>-418070.228775071</v>
      </c>
      <c r="J29" s="65" t="n">
        <f aca="false">-People!J221</f>
        <v>-445030.254160606</v>
      </c>
      <c r="K29" s="65" t="n">
        <f aca="false">-People!K221</f>
        <v>-400259.687568355</v>
      </c>
      <c r="L29" s="65" t="n">
        <f aca="false">-People!L221</f>
        <v>-319302.30438193</v>
      </c>
      <c r="M29" s="65" t="n">
        <f aca="false">-People!M221</f>
        <v>-443282.376574731</v>
      </c>
      <c r="N29" s="65" t="n">
        <f aca="false">-People!N221</f>
        <v>-439921.229018544</v>
      </c>
      <c r="O29" s="65" t="n">
        <f aca="false">-People!O221</f>
        <v>-449886.175743922</v>
      </c>
      <c r="P29" s="65" t="n">
        <f aca="false">-People!P221</f>
        <v>-430518.885212511</v>
      </c>
      <c r="Q29" s="65" t="n">
        <f aca="false">-People!Q221</f>
        <v>-494710.596972007</v>
      </c>
      <c r="R29" s="65" t="n">
        <f aca="false">-People!R221</f>
        <v>-467996.371737218</v>
      </c>
      <c r="S29" s="65" t="n">
        <f aca="false">-People!S221</f>
        <v>-499918.686162853</v>
      </c>
      <c r="T29" s="65" t="n">
        <f aca="false">-People!T221</f>
        <v>-476230.730378552</v>
      </c>
      <c r="U29" s="65" t="n">
        <f aca="false">-People!U221</f>
        <v>-472595.868088361</v>
      </c>
      <c r="V29" s="65" t="n">
        <f aca="false">-People!V221</f>
        <v>-503352.783740996</v>
      </c>
      <c r="W29" s="65" t="n">
        <f aca="false">-People!W221</f>
        <v>-442011.426323885</v>
      </c>
      <c r="X29" s="65" t="n">
        <f aca="false">-People!X221</f>
        <v>-376744.085724017</v>
      </c>
      <c r="Y29" s="65" t="n">
        <f aca="false">-People!Y221</f>
        <v>-524788.37798871</v>
      </c>
      <c r="Z29" s="65" t="n">
        <f aca="false">-People!Z221</f>
        <v>-513411.430890424</v>
      </c>
      <c r="AA29" s="65" t="n">
        <f aca="false">-People!AA221</f>
        <v>-524547.667148307</v>
      </c>
      <c r="AB29" s="65" t="n">
        <f aca="false">-People!AB221</f>
        <v>-502107.717602876</v>
      </c>
    </row>
    <row r="30" customFormat="false" ht="15" hidden="false" customHeight="false" outlineLevel="0" collapsed="false">
      <c r="A30" s="28" t="s">
        <v>422</v>
      </c>
      <c r="B30" s="62" t="s">
        <v>53</v>
      </c>
      <c r="C30" s="64" t="n">
        <f aca="false">SUM(E30:P30)</f>
        <v>-24261.8553575103</v>
      </c>
      <c r="D30" s="64" t="n">
        <f aca="false">SUM(Q30:AB30)</f>
        <v>-18750.4948564102</v>
      </c>
      <c r="E30" s="65" t="n">
        <f aca="false">-Usage_Compute!E40</f>
        <v>-3322.82525347193</v>
      </c>
      <c r="F30" s="65" t="n">
        <f aca="false">-Usage_Compute!F40</f>
        <v>-1900.19030702867</v>
      </c>
      <c r="G30" s="65" t="n">
        <f aca="false">-Usage_Compute!G40</f>
        <v>-3374.28620868662</v>
      </c>
      <c r="H30" s="65" t="n">
        <f aca="false">-Usage_Compute!H40</f>
        <v>-2811.63178129005</v>
      </c>
      <c r="I30" s="65" t="n">
        <f aca="false">-Usage_Compute!I40</f>
        <v>-3118.36288871755</v>
      </c>
      <c r="J30" s="65" t="n">
        <f aca="false">-Usage_Compute!J40</f>
        <v>-2136.24641833811</v>
      </c>
      <c r="K30" s="65" t="n">
        <f aca="false">-Usage_Compute!K40</f>
        <v>-1818.99798546028</v>
      </c>
      <c r="L30" s="65" t="n">
        <f aca="false">-Usage_Compute!L40</f>
        <v>-1787.8504269818</v>
      </c>
      <c r="M30" s="65" t="n">
        <f aca="false">-Usage_Compute!M40</f>
        <v>-1036.76040246783</v>
      </c>
      <c r="N30" s="65" t="n">
        <f aca="false">-Usage_Compute!N40</f>
        <v>-1760.08352113266</v>
      </c>
      <c r="O30" s="65" t="n">
        <f aca="false">-Usage_Compute!O40</f>
        <v>-559.720109058904</v>
      </c>
      <c r="P30" s="65" t="n">
        <f aca="false">-Usage_Compute!P40</f>
        <v>-634.900054875881</v>
      </c>
      <c r="Q30" s="65" t="n">
        <f aca="false">-Usage_Compute!Q40</f>
        <v>-3217.39400744033</v>
      </c>
      <c r="R30" s="65" t="n">
        <f aca="false">-Usage_Compute!R40</f>
        <v>-617.003846300157</v>
      </c>
      <c r="S30" s="65" t="n">
        <f aca="false">-Usage_Compute!S40</f>
        <v>-2079.53191699727</v>
      </c>
      <c r="T30" s="65" t="n">
        <f aca="false">-Usage_Compute!T40</f>
        <v>-1807.26172931761</v>
      </c>
      <c r="U30" s="65" t="n">
        <f aca="false">-Usage_Compute!U40</f>
        <v>-1917.32212031778</v>
      </c>
      <c r="V30" s="65" t="n">
        <f aca="false">-Usage_Compute!V40</f>
        <v>-1020.7336696813</v>
      </c>
      <c r="W30" s="65" t="n">
        <f aca="false">-Usage_Compute!W40</f>
        <v>-2109.41716933887</v>
      </c>
      <c r="X30" s="65" t="n">
        <f aca="false">-Usage_Compute!X40</f>
        <v>-1893.76235003028</v>
      </c>
      <c r="Y30" s="65" t="n">
        <f aca="false">-Usage_Compute!Y40</f>
        <v>-785.607711354731</v>
      </c>
      <c r="Z30" s="65" t="n">
        <f aca="false">-Usage_Compute!Z40</f>
        <v>-1691.42146529766</v>
      </c>
      <c r="AA30" s="65" t="n">
        <f aca="false">-Usage_Compute!AA40</f>
        <v>-645.203968485715</v>
      </c>
      <c r="AB30" s="65" t="n">
        <f aca="false">-Usage_Compute!AB40</f>
        <v>-965.834901848512</v>
      </c>
    </row>
    <row r="31" customFormat="false" ht="15" hidden="false" customHeight="false" outlineLevel="0" collapsed="false">
      <c r="A31" s="28" t="s">
        <v>423</v>
      </c>
      <c r="B31" s="62" t="s">
        <v>61</v>
      </c>
      <c r="C31" s="64" t="n">
        <f aca="false">SUM(E31:P31)</f>
        <v>-1761339.74141565</v>
      </c>
      <c r="D31" s="64" t="n">
        <f aca="false">SUM(Q31:AB31)</f>
        <v>-2138836.93547338</v>
      </c>
      <c r="E31" s="65" t="n">
        <f aca="false">-(People!E225+People!E231)</f>
        <v>-117339.047792946</v>
      </c>
      <c r="F31" s="65" t="n">
        <f aca="false">-(People!F225+People!F231)</f>
        <v>-164389.139879836</v>
      </c>
      <c r="G31" s="65" t="n">
        <f aca="false">-(People!G225+People!G231)</f>
        <v>-124740.48685511</v>
      </c>
      <c r="H31" s="65" t="n">
        <f aca="false">-(People!H225+People!H231)</f>
        <v>-180592.383152357</v>
      </c>
      <c r="I31" s="65" t="n">
        <f aca="false">-(People!I225+People!I231)</f>
        <v>-124729.247713014</v>
      </c>
      <c r="J31" s="65" t="n">
        <f aca="false">-(People!J225+People!J231)</f>
        <v>-174862.364259453</v>
      </c>
      <c r="K31" s="65" t="n">
        <f aca="false">-(People!K225+People!K231)</f>
        <v>-161265.520618854</v>
      </c>
      <c r="L31" s="65" t="n">
        <f aca="false">-(People!L225+People!L231)</f>
        <v>-104503.285941978</v>
      </c>
      <c r="M31" s="65" t="n">
        <f aca="false">-(People!M225+People!M231)</f>
        <v>-145515.654350545</v>
      </c>
      <c r="N31" s="65" t="n">
        <f aca="false">-(People!N225+People!N231)</f>
        <v>-158274.45042099</v>
      </c>
      <c r="O31" s="65" t="n">
        <f aca="false">-(People!O225+People!O231)</f>
        <v>-166043.697286597</v>
      </c>
      <c r="P31" s="65" t="n">
        <f aca="false">-(People!P225+People!P231)</f>
        <v>-139084.463143976</v>
      </c>
      <c r="Q31" s="65" t="n">
        <f aca="false">-(People!Q225+People!Q231)</f>
        <v>-148335.164122176</v>
      </c>
      <c r="R31" s="65" t="n">
        <f aca="false">-(People!R225+People!R231)</f>
        <v>-209034.914891541</v>
      </c>
      <c r="S31" s="65" t="n">
        <f aca="false">-(People!S225+People!S231)</f>
        <v>-161982.761550908</v>
      </c>
      <c r="T31" s="65" t="n">
        <f aca="false">-(People!T225+People!T231)</f>
        <v>-206121.647631682</v>
      </c>
      <c r="U31" s="65" t="n">
        <f aca="false">-(People!U225+People!U231)</f>
        <v>-162119.336326732</v>
      </c>
      <c r="V31" s="65" t="n">
        <f aca="false">-(People!V225+People!V231)</f>
        <v>-208436.031963845</v>
      </c>
      <c r="W31" s="65" t="n">
        <f aca="false">-(People!W225+People!W231)</f>
        <v>-186172.47030657</v>
      </c>
      <c r="X31" s="65" t="n">
        <f aca="false">-(People!X225+People!X231)</f>
        <v>-129920.240226976</v>
      </c>
      <c r="Y31" s="65" t="n">
        <f aca="false">-(People!Y225+People!Y231)</f>
        <v>-178754.48733659</v>
      </c>
      <c r="Z31" s="65" t="n">
        <f aca="false">-(People!Z225+People!Z231)</f>
        <v>-192885.274436456</v>
      </c>
      <c r="AA31" s="65" t="n">
        <f aca="false">-(People!AA225+People!AA231)</f>
        <v>-190921.071292388</v>
      </c>
      <c r="AB31" s="65" t="n">
        <f aca="false">-(People!AB225+People!AB231)</f>
        <v>-164153.535387517</v>
      </c>
    </row>
    <row r="32" customFormat="false" ht="15" hidden="false" customHeight="false" outlineLevel="0" collapsed="false">
      <c r="A32" s="28" t="s">
        <v>424</v>
      </c>
      <c r="B32" s="62" t="s">
        <v>77</v>
      </c>
      <c r="C32" s="64" t="n">
        <f aca="false">SUM(E32:P32)</f>
        <v>-465950.13</v>
      </c>
      <c r="D32" s="64" t="n">
        <f aca="false">SUM(Q32:AB32)</f>
        <v>-471295</v>
      </c>
      <c r="E32" s="65" t="n">
        <f aca="false">-Overheads!E10</f>
        <v>-40122.19</v>
      </c>
      <c r="F32" s="65" t="n">
        <f aca="false">-Overheads!F10</f>
        <v>-38266.5</v>
      </c>
      <c r="G32" s="65" t="n">
        <f aca="false">-Overheads!G10</f>
        <v>-44158.36</v>
      </c>
      <c r="H32" s="65" t="n">
        <f aca="false">-Overheads!H10</f>
        <v>-39060.9</v>
      </c>
      <c r="I32" s="65" t="n">
        <f aca="false">-Overheads!I10</f>
        <v>-36977.95</v>
      </c>
      <c r="J32" s="65" t="n">
        <f aca="false">-Overheads!J10</f>
        <v>-39565.64</v>
      </c>
      <c r="K32" s="65" t="n">
        <f aca="false">-Overheads!K10</f>
        <v>-38526.92</v>
      </c>
      <c r="L32" s="65" t="n">
        <f aca="false">-Overheads!L10</f>
        <v>-31571.67</v>
      </c>
      <c r="M32" s="65" t="n">
        <f aca="false">-Overheads!M10</f>
        <v>-38000</v>
      </c>
      <c r="N32" s="65" t="n">
        <f aca="false">-Overheads!N10</f>
        <v>-43700</v>
      </c>
      <c r="O32" s="65" t="n">
        <f aca="false">-Overheads!O10</f>
        <v>-38000</v>
      </c>
      <c r="P32" s="65" t="n">
        <f aca="false">-Overheads!P10</f>
        <v>-38000</v>
      </c>
      <c r="Q32" s="65" t="n">
        <f aca="false">-Overheads!Q10</f>
        <v>-38950</v>
      </c>
      <c r="R32" s="65" t="n">
        <f aca="false">-Overheads!R10</f>
        <v>-38950</v>
      </c>
      <c r="S32" s="65" t="n">
        <f aca="false">-Overheads!S10</f>
        <v>-44792.5</v>
      </c>
      <c r="T32" s="65" t="n">
        <f aca="false">-Overheads!T10</f>
        <v>-38950</v>
      </c>
      <c r="U32" s="65" t="n">
        <f aca="false">-Overheads!U10</f>
        <v>-38950</v>
      </c>
      <c r="V32" s="65" t="n">
        <f aca="false">-Overheads!V10</f>
        <v>-38950</v>
      </c>
      <c r="W32" s="65" t="n">
        <f aca="false">-Overheads!W10</f>
        <v>-38950</v>
      </c>
      <c r="X32" s="65" t="n">
        <f aca="false">-Overheads!X10</f>
        <v>-31160</v>
      </c>
      <c r="Y32" s="65" t="n">
        <f aca="false">-Overheads!Y10</f>
        <v>-38950</v>
      </c>
      <c r="Z32" s="65" t="n">
        <f aca="false">-Overheads!Z10</f>
        <v>-44792.5</v>
      </c>
      <c r="AA32" s="65" t="n">
        <f aca="false">-Overheads!AA10</f>
        <v>-38950</v>
      </c>
      <c r="AB32" s="65" t="n">
        <f aca="false">-Overheads!AB10</f>
        <v>-38950</v>
      </c>
    </row>
    <row r="33" customFormat="false" ht="15" hidden="false" customHeight="false" outlineLevel="0" collapsed="false">
      <c r="A33" s="28" t="s">
        <v>425</v>
      </c>
      <c r="B33" s="62" t="s">
        <v>77</v>
      </c>
      <c r="C33" s="64" t="n">
        <f aca="false">SUM(E33:P33)</f>
        <v>-188088.2</v>
      </c>
      <c r="D33" s="64" t="n">
        <f aca="false">SUM(Q33:AB33)</f>
        <v>-193725</v>
      </c>
      <c r="E33" s="65" t="n">
        <f aca="false">-Overheads!E11</f>
        <v>-14295.59</v>
      </c>
      <c r="F33" s="65" t="n">
        <f aca="false">-Overheads!F11</f>
        <v>-12160.67</v>
      </c>
      <c r="G33" s="65" t="n">
        <f aca="false">-Overheads!G11</f>
        <v>-12759.39</v>
      </c>
      <c r="H33" s="65" t="n">
        <f aca="false">-Overheads!H11</f>
        <v>-12697.28</v>
      </c>
      <c r="I33" s="65" t="n">
        <f aca="false">-Overheads!I11</f>
        <v>-14181.74</v>
      </c>
      <c r="J33" s="65" t="n">
        <f aca="false">-Overheads!J11</f>
        <v>-38077.73</v>
      </c>
      <c r="K33" s="65" t="n">
        <f aca="false">-Overheads!K11</f>
        <v>-14789.14</v>
      </c>
      <c r="L33" s="65" t="n">
        <f aca="false">-Overheads!L11</f>
        <v>-13126.66</v>
      </c>
      <c r="M33" s="65" t="n">
        <f aca="false">-Overheads!M11</f>
        <v>-14000</v>
      </c>
      <c r="N33" s="65" t="n">
        <f aca="false">-Overheads!N11</f>
        <v>-14000</v>
      </c>
      <c r="O33" s="65" t="n">
        <f aca="false">-Overheads!O11</f>
        <v>-14000</v>
      </c>
      <c r="P33" s="65" t="n">
        <f aca="false">-Overheads!P11</f>
        <v>-14000</v>
      </c>
      <c r="Q33" s="65" t="n">
        <f aca="false">-Overheads!Q11</f>
        <v>-14350</v>
      </c>
      <c r="R33" s="65" t="n">
        <f aca="false">-Overheads!R11</f>
        <v>-14350</v>
      </c>
      <c r="S33" s="65" t="n">
        <f aca="false">-Overheads!S11</f>
        <v>-14350</v>
      </c>
      <c r="T33" s="65" t="n">
        <f aca="false">-Overheads!T11</f>
        <v>-14350</v>
      </c>
      <c r="U33" s="65" t="n">
        <f aca="false">-Overheads!U11</f>
        <v>-14350</v>
      </c>
      <c r="V33" s="65" t="n">
        <f aca="false">-Overheads!V11</f>
        <v>-35875</v>
      </c>
      <c r="W33" s="65" t="n">
        <f aca="false">-Overheads!W11</f>
        <v>-14350</v>
      </c>
      <c r="X33" s="65" t="n">
        <f aca="false">-Overheads!X11</f>
        <v>-14350</v>
      </c>
      <c r="Y33" s="65" t="n">
        <f aca="false">-Overheads!Y11</f>
        <v>-14350</v>
      </c>
      <c r="Z33" s="65" t="n">
        <f aca="false">-Overheads!Z11</f>
        <v>-14350</v>
      </c>
      <c r="AA33" s="65" t="n">
        <f aca="false">-Overheads!AA11</f>
        <v>-14350</v>
      </c>
      <c r="AB33" s="65" t="n">
        <f aca="false">-Overheads!AB11</f>
        <v>-14350</v>
      </c>
    </row>
    <row r="34" customFormat="false" ht="15" hidden="false" customHeight="false" outlineLevel="0" collapsed="false">
      <c r="A34" s="28" t="s">
        <v>426</v>
      </c>
      <c r="B34" s="62" t="s">
        <v>61</v>
      </c>
      <c r="C34" s="64" t="n">
        <f aca="false">SUM(E34:P34)</f>
        <v>-829619.255775392</v>
      </c>
      <c r="D34" s="64" t="n">
        <f aca="false">SUM(Q34:AB34)</f>
        <v>-896257.099075453</v>
      </c>
      <c r="E34" s="65" t="n">
        <f aca="false">-People!E227</f>
        <v>-68558.4545026738</v>
      </c>
      <c r="F34" s="65" t="n">
        <f aca="false">-People!F227</f>
        <v>-64835.6856170014</v>
      </c>
      <c r="G34" s="65" t="n">
        <f aca="false">-People!G227</f>
        <v>-74115.9405481101</v>
      </c>
      <c r="H34" s="65" t="n">
        <f aca="false">-People!H227</f>
        <v>-70456.6090790794</v>
      </c>
      <c r="I34" s="65" t="n">
        <f aca="false">-People!I227</f>
        <v>-69660.268476822</v>
      </c>
      <c r="J34" s="65" t="n">
        <f aca="false">-People!J227</f>
        <v>-72774.6249670477</v>
      </c>
      <c r="K34" s="65" t="n">
        <f aca="false">-People!K227</f>
        <v>-65278.1072041918</v>
      </c>
      <c r="L34" s="65" t="n">
        <f aca="false">-People!L227</f>
        <v>-53117.7534378529</v>
      </c>
      <c r="M34" s="65" t="n">
        <f aca="false">-People!M227</f>
        <v>-74269.6485039423</v>
      </c>
      <c r="N34" s="65" t="n">
        <f aca="false">-People!N227</f>
        <v>-72142.2540529505</v>
      </c>
      <c r="O34" s="65" t="n">
        <f aca="false">-People!O227</f>
        <v>-73805.6499878146</v>
      </c>
      <c r="P34" s="65" t="n">
        <f aca="false">-People!P227</f>
        <v>-70604.2593979057</v>
      </c>
      <c r="Q34" s="65" t="n">
        <f aca="false">-People!Q227</f>
        <v>-75965.3573760448</v>
      </c>
      <c r="R34" s="65" t="n">
        <f aca="false">-People!R227</f>
        <v>-71857.8331954449</v>
      </c>
      <c r="S34" s="65" t="n">
        <f aca="false">-People!S227</f>
        <v>-75245.4017397958</v>
      </c>
      <c r="T34" s="65" t="n">
        <f aca="false">-People!T227</f>
        <v>-71652.8771064953</v>
      </c>
      <c r="U34" s="65" t="n">
        <f aca="false">-People!U227</f>
        <v>-71111.7226409381</v>
      </c>
      <c r="V34" s="65" t="n">
        <f aca="false">-People!V227</f>
        <v>-74390.587009424</v>
      </c>
      <c r="W34" s="65" t="n">
        <f aca="false">-People!W227</f>
        <v>-70892.7763360429</v>
      </c>
      <c r="X34" s="65" t="n">
        <f aca="false">-People!X227</f>
        <v>-60263.4630016999</v>
      </c>
      <c r="Y34" s="65" t="n">
        <f aca="false">-People!Y227</f>
        <v>-82566.2629627645</v>
      </c>
      <c r="Z34" s="65" t="n">
        <f aca="false">-People!Z227</f>
        <v>-80770.0513721911</v>
      </c>
      <c r="AA34" s="65" t="n">
        <f aca="false">-People!AA227</f>
        <v>-82556.4102224849</v>
      </c>
      <c r="AB34" s="65" t="n">
        <f aca="false">-People!AB227</f>
        <v>-78984.3561121266</v>
      </c>
    </row>
    <row r="35" customFormat="false" ht="15" hidden="false" customHeight="false" outlineLevel="0" collapsed="false">
      <c r="A35" s="28" t="s">
        <v>427</v>
      </c>
      <c r="B35" s="62" t="s">
        <v>77</v>
      </c>
      <c r="C35" s="64" t="n">
        <f aca="false">SUM(E35:P35)</f>
        <v>-221519.083764383</v>
      </c>
      <c r="D35" s="64" t="n">
        <f aca="false">SUM(Q35:AB35)</f>
        <v>-259307.839147554</v>
      </c>
      <c r="E35" s="65" t="n">
        <f aca="false">-Overheads!E9</f>
        <v>-17964.17</v>
      </c>
      <c r="F35" s="65" t="n">
        <f aca="false">-Overheads!F9</f>
        <v>-17385.59</v>
      </c>
      <c r="G35" s="65" t="n">
        <f aca="false">-Overheads!G9</f>
        <v>-18123.85</v>
      </c>
      <c r="H35" s="65" t="n">
        <f aca="false">-Overheads!H9</f>
        <v>-19869.56</v>
      </c>
      <c r="I35" s="65" t="n">
        <f aca="false">-Overheads!I9</f>
        <v>-17944.87</v>
      </c>
      <c r="J35" s="65" t="n">
        <f aca="false">-Overheads!J9</f>
        <v>-18293.52</v>
      </c>
      <c r="K35" s="65" t="n">
        <f aca="false">-Overheads!K9</f>
        <v>-18498.38</v>
      </c>
      <c r="L35" s="65" t="n">
        <f aca="false">-Overheads!L9</f>
        <v>-18949.95</v>
      </c>
      <c r="M35" s="65" t="n">
        <f aca="false">-Overheads!M9</f>
        <v>-18287.2</v>
      </c>
      <c r="N35" s="65" t="n">
        <f aca="false">-Overheads!N9</f>
        <v>-18576.6353333333</v>
      </c>
      <c r="O35" s="65" t="n">
        <f aca="false">-Overheads!O9</f>
        <v>-18816.0773061111</v>
      </c>
      <c r="P35" s="65" t="n">
        <f aca="false">-Overheads!P9</f>
        <v>-18809.2811249384</v>
      </c>
      <c r="Q35" s="65" t="n">
        <f aca="false">-Overheads!Q9</f>
        <v>-20505.5053074616</v>
      </c>
      <c r="R35" s="65" t="n">
        <f aca="false">-Overheads!R9</f>
        <v>-20738.3425162343</v>
      </c>
      <c r="S35" s="65" t="n">
        <f aca="false">-Overheads!S9</f>
        <v>-20967.1402146239</v>
      </c>
      <c r="T35" s="65" t="n">
        <f aca="false">-Overheads!T9</f>
        <v>-21453.3689730573</v>
      </c>
      <c r="U35" s="65" t="n">
        <f aca="false">-Overheads!U9</f>
        <v>-21444.4474669856</v>
      </c>
      <c r="V35" s="65" t="n">
        <f aca="false">-Overheads!V9</f>
        <v>-21683.4722466368</v>
      </c>
      <c r="W35" s="65" t="n">
        <f aca="false">-Overheads!W9</f>
        <v>-21927.6456240682</v>
      </c>
      <c r="X35" s="65" t="n">
        <f aca="false">-Overheads!X9</f>
        <v>-21924.0733047542</v>
      </c>
      <c r="Y35" s="65" t="n">
        <f aca="false">-Overheads!Y9</f>
        <v>-22168.4734655675</v>
      </c>
      <c r="Z35" s="65" t="n">
        <f aca="false">-Overheads!Z9</f>
        <v>-22166.4604639906</v>
      </c>
      <c r="AA35" s="65" t="n">
        <f aca="false">-Overheads!AA9</f>
        <v>-22164.4379354873</v>
      </c>
      <c r="AB35" s="65" t="n">
        <f aca="false">-Overheads!AB9</f>
        <v>-22164.4716286864</v>
      </c>
    </row>
    <row r="36" customFormat="false" ht="15" hidden="false" customHeight="false" outlineLevel="0" collapsed="false">
      <c r="A36" s="28" t="s">
        <v>428</v>
      </c>
      <c r="B36" s="62" t="s">
        <v>77</v>
      </c>
      <c r="C36" s="64" t="n">
        <f aca="false">SUM(E36:P36)</f>
        <v>-408000</v>
      </c>
      <c r="D36" s="64" t="n">
        <f aca="false">SUM(Q36:AB36)</f>
        <v>-418200</v>
      </c>
      <c r="E36" s="65" t="n">
        <f aca="false">-Overheads!E12</f>
        <v>-34000</v>
      </c>
      <c r="F36" s="65" t="n">
        <f aca="false">-Overheads!F12</f>
        <v>-34000</v>
      </c>
      <c r="G36" s="65" t="n">
        <f aca="false">-Overheads!G12</f>
        <v>-34000</v>
      </c>
      <c r="H36" s="65" t="n">
        <f aca="false">-Overheads!H12</f>
        <v>-34000</v>
      </c>
      <c r="I36" s="65" t="n">
        <f aca="false">-Overheads!I12</f>
        <v>-34000</v>
      </c>
      <c r="J36" s="65" t="n">
        <f aca="false">-Overheads!J12</f>
        <v>-34000</v>
      </c>
      <c r="K36" s="65" t="n">
        <f aca="false">-Overheads!K12</f>
        <v>-34000</v>
      </c>
      <c r="L36" s="65" t="n">
        <f aca="false">-Overheads!L12</f>
        <v>-34000</v>
      </c>
      <c r="M36" s="65" t="n">
        <f aca="false">-Overheads!M12</f>
        <v>-34000</v>
      </c>
      <c r="N36" s="65" t="n">
        <f aca="false">-Overheads!N12</f>
        <v>-34000</v>
      </c>
      <c r="O36" s="65" t="n">
        <f aca="false">-Overheads!O12</f>
        <v>-34000</v>
      </c>
      <c r="P36" s="65" t="n">
        <f aca="false">-Overheads!P12</f>
        <v>-34000</v>
      </c>
      <c r="Q36" s="65" t="n">
        <f aca="false">-Overheads!Q12</f>
        <v>-34850</v>
      </c>
      <c r="R36" s="65" t="n">
        <f aca="false">-Overheads!R12</f>
        <v>-34850</v>
      </c>
      <c r="S36" s="65" t="n">
        <f aca="false">-Overheads!S12</f>
        <v>-34850</v>
      </c>
      <c r="T36" s="65" t="n">
        <f aca="false">-Overheads!T12</f>
        <v>-34850</v>
      </c>
      <c r="U36" s="65" t="n">
        <f aca="false">-Overheads!U12</f>
        <v>-34850</v>
      </c>
      <c r="V36" s="65" t="n">
        <f aca="false">-Overheads!V12</f>
        <v>-34850</v>
      </c>
      <c r="W36" s="65" t="n">
        <f aca="false">-Overheads!W12</f>
        <v>-34850</v>
      </c>
      <c r="X36" s="65" t="n">
        <f aca="false">-Overheads!X12</f>
        <v>-34850</v>
      </c>
      <c r="Y36" s="65" t="n">
        <f aca="false">-Overheads!Y12</f>
        <v>-34850</v>
      </c>
      <c r="Z36" s="65" t="n">
        <f aca="false">-Overheads!Z12</f>
        <v>-34850</v>
      </c>
      <c r="AA36" s="65" t="n">
        <f aca="false">-Overheads!AA12</f>
        <v>-34850</v>
      </c>
      <c r="AB36" s="65" t="n">
        <f aca="false">-Overheads!AB12</f>
        <v>-34850</v>
      </c>
    </row>
    <row r="37" customFormat="false" ht="15" hidden="false" customHeight="false" outlineLevel="0" collapsed="false">
      <c r="A37" s="28" t="s">
        <v>429</v>
      </c>
      <c r="B37" s="62" t="s">
        <v>77</v>
      </c>
      <c r="C37" s="64" t="n">
        <f aca="false">SUM(E37:P37)</f>
        <v>-212765.78</v>
      </c>
      <c r="D37" s="64" t="n">
        <f aca="false">SUM(Q37:AB37)</f>
        <v>-216480</v>
      </c>
      <c r="E37" s="65" t="n">
        <f aca="false">-Overheads!E13</f>
        <v>-16317.2</v>
      </c>
      <c r="F37" s="65" t="n">
        <f aca="false">-Overheads!F13</f>
        <v>-16190.39</v>
      </c>
      <c r="G37" s="65" t="n">
        <f aca="false">-Overheads!G13</f>
        <v>-34446.7</v>
      </c>
      <c r="H37" s="65" t="n">
        <f aca="false">-Overheads!H13</f>
        <v>-17409.94</v>
      </c>
      <c r="I37" s="65" t="n">
        <f aca="false">-Overheads!I13</f>
        <v>-15872.42</v>
      </c>
      <c r="J37" s="65" t="n">
        <f aca="false">-Overheads!J13</f>
        <v>-15162.98</v>
      </c>
      <c r="K37" s="65" t="n">
        <f aca="false">-Overheads!K13</f>
        <v>-17487.83</v>
      </c>
      <c r="L37" s="65" t="n">
        <f aca="false">-Overheads!L13</f>
        <v>-15878.32</v>
      </c>
      <c r="M37" s="65" t="n">
        <f aca="false">-Overheads!M13</f>
        <v>-16000</v>
      </c>
      <c r="N37" s="65" t="n">
        <f aca="false">-Overheads!N13</f>
        <v>-16000</v>
      </c>
      <c r="O37" s="65" t="n">
        <f aca="false">-Overheads!O13</f>
        <v>-16000</v>
      </c>
      <c r="P37" s="65" t="n">
        <f aca="false">-Overheads!P13</f>
        <v>-16000</v>
      </c>
      <c r="Q37" s="65" t="n">
        <f aca="false">-Overheads!Q13</f>
        <v>-16400</v>
      </c>
      <c r="R37" s="65" t="n">
        <f aca="false">-Overheads!R13</f>
        <v>-16400</v>
      </c>
      <c r="S37" s="65" t="n">
        <f aca="false">-Overheads!S13</f>
        <v>-36080</v>
      </c>
      <c r="T37" s="65" t="n">
        <f aca="false">-Overheads!T13</f>
        <v>-16400</v>
      </c>
      <c r="U37" s="65" t="n">
        <f aca="false">-Overheads!U13</f>
        <v>-16400</v>
      </c>
      <c r="V37" s="65" t="n">
        <f aca="false">-Overheads!V13</f>
        <v>-16400</v>
      </c>
      <c r="W37" s="65" t="n">
        <f aca="false">-Overheads!W13</f>
        <v>-16400</v>
      </c>
      <c r="X37" s="65" t="n">
        <f aca="false">-Overheads!X13</f>
        <v>-16400</v>
      </c>
      <c r="Y37" s="65" t="n">
        <f aca="false">-Overheads!Y13</f>
        <v>-16400</v>
      </c>
      <c r="Z37" s="65" t="n">
        <f aca="false">-Overheads!Z13</f>
        <v>-16400</v>
      </c>
      <c r="AA37" s="65" t="n">
        <f aca="false">-Overheads!AA13</f>
        <v>-16400</v>
      </c>
      <c r="AB37" s="65" t="n">
        <f aca="false">-Overheads!AB13</f>
        <v>-16400</v>
      </c>
    </row>
    <row r="38" customFormat="false" ht="15" hidden="false" customHeight="false" outlineLevel="0" collapsed="false">
      <c r="A38" s="28" t="s">
        <v>430</v>
      </c>
      <c r="B38" s="62" t="s">
        <v>77</v>
      </c>
      <c r="C38" s="64" t="n">
        <f aca="false">SUM(E38:P38)</f>
        <v>-54000</v>
      </c>
      <c r="D38" s="64" t="n">
        <f aca="false">SUM(Q38:AB38)</f>
        <v>-55350</v>
      </c>
      <c r="E38" s="65" t="n">
        <f aca="false">-Overheads!E14</f>
        <v>-4500</v>
      </c>
      <c r="F38" s="65" t="n">
        <f aca="false">-Overheads!F14</f>
        <v>-4500</v>
      </c>
      <c r="G38" s="65" t="n">
        <f aca="false">-Overheads!G14</f>
        <v>-4500</v>
      </c>
      <c r="H38" s="65" t="n">
        <f aca="false">-Overheads!H14</f>
        <v>-4500</v>
      </c>
      <c r="I38" s="65" t="n">
        <f aca="false">-Overheads!I14</f>
        <v>-4500</v>
      </c>
      <c r="J38" s="65" t="n">
        <f aca="false">-Overheads!J14</f>
        <v>-4500</v>
      </c>
      <c r="K38" s="65" t="n">
        <f aca="false">-Overheads!K14</f>
        <v>-4500</v>
      </c>
      <c r="L38" s="65" t="n">
        <f aca="false">-Overheads!L14</f>
        <v>-4500</v>
      </c>
      <c r="M38" s="65" t="n">
        <f aca="false">-Overheads!M14</f>
        <v>-4500</v>
      </c>
      <c r="N38" s="65" t="n">
        <f aca="false">-Overheads!N14</f>
        <v>-4500</v>
      </c>
      <c r="O38" s="65" t="n">
        <f aca="false">-Overheads!O14</f>
        <v>-4500</v>
      </c>
      <c r="P38" s="65" t="n">
        <f aca="false">-Overheads!P14</f>
        <v>-4500</v>
      </c>
      <c r="Q38" s="65" t="n">
        <f aca="false">-Overheads!Q14</f>
        <v>-4612.5</v>
      </c>
      <c r="R38" s="65" t="n">
        <f aca="false">-Overheads!R14</f>
        <v>-4612.5</v>
      </c>
      <c r="S38" s="65" t="n">
        <f aca="false">-Overheads!S14</f>
        <v>-4612.5</v>
      </c>
      <c r="T38" s="65" t="n">
        <f aca="false">-Overheads!T14</f>
        <v>-4612.5</v>
      </c>
      <c r="U38" s="65" t="n">
        <f aca="false">-Overheads!U14</f>
        <v>-4612.5</v>
      </c>
      <c r="V38" s="65" t="n">
        <f aca="false">-Overheads!V14</f>
        <v>-4612.5</v>
      </c>
      <c r="W38" s="65" t="n">
        <f aca="false">-Overheads!W14</f>
        <v>-4612.5</v>
      </c>
      <c r="X38" s="65" t="n">
        <f aca="false">-Overheads!X14</f>
        <v>-4612.5</v>
      </c>
      <c r="Y38" s="65" t="n">
        <f aca="false">-Overheads!Y14</f>
        <v>-4612.5</v>
      </c>
      <c r="Z38" s="65" t="n">
        <f aca="false">-Overheads!Z14</f>
        <v>-4612.5</v>
      </c>
      <c r="AA38" s="65" t="n">
        <f aca="false">-Overheads!AA14</f>
        <v>-4612.5</v>
      </c>
      <c r="AB38" s="65" t="n">
        <f aca="false">-Overheads!AB14</f>
        <v>-4612.5</v>
      </c>
    </row>
    <row r="39" customFormat="false" ht="15" hidden="false" customHeight="false" outlineLevel="0" collapsed="false">
      <c r="A39" s="28" t="s">
        <v>431</v>
      </c>
      <c r="B39" s="62" t="s">
        <v>77</v>
      </c>
      <c r="C39" s="64" t="n">
        <f aca="false">SUM(E39:P39)</f>
        <v>-118987.695833333</v>
      </c>
      <c r="D39" s="64" t="n">
        <f aca="false">SUM(Q39:AB39)</f>
        <v>-182572.236044663</v>
      </c>
      <c r="E39" s="65" t="n">
        <f aca="false">-Overheads!E15</f>
        <v>-7675.8</v>
      </c>
      <c r="F39" s="65" t="n">
        <f aca="false">-Overheads!F15</f>
        <v>-16033.25</v>
      </c>
      <c r="G39" s="65" t="n">
        <f aca="false">-Overheads!G15</f>
        <v>-23048.39</v>
      </c>
      <c r="H39" s="65" t="n">
        <f aca="false">-Overheads!H15</f>
        <v>-14790.36</v>
      </c>
      <c r="I39" s="65" t="n">
        <f aca="false">-Overheads!I15</f>
        <v>-9257.09</v>
      </c>
      <c r="J39" s="65" t="n">
        <f aca="false">-Overheads!J15</f>
        <v>-7702.66</v>
      </c>
      <c r="K39" s="65" t="n">
        <f aca="false">-Overheads!K15</f>
        <v>-1000</v>
      </c>
      <c r="L39" s="65" t="n">
        <f aca="false">-Overheads!L15</f>
        <v>-1000</v>
      </c>
      <c r="M39" s="65" t="n">
        <f aca="false">-Overheads!M15</f>
        <v>-1000</v>
      </c>
      <c r="N39" s="65" t="n">
        <f aca="false">-Overheads!N15</f>
        <v>-16000</v>
      </c>
      <c r="O39" s="65" t="n">
        <f aca="false">-Overheads!O15</f>
        <v>-14525</v>
      </c>
      <c r="P39" s="65" t="n">
        <f aca="false">-Overheads!P15</f>
        <v>-6955.14583333333</v>
      </c>
      <c r="Q39" s="65" t="n">
        <f aca="false">-Overheads!Q15</f>
        <v>-44542.4383506944</v>
      </c>
      <c r="R39" s="65" t="n">
        <f aca="false">-Overheads!R15</f>
        <v>-14667.5264949797</v>
      </c>
      <c r="S39" s="65" t="n">
        <f aca="false">-Overheads!S15</f>
        <v>-14664.6287653364</v>
      </c>
      <c r="T39" s="65" t="n">
        <f aca="false">-Overheads!T15</f>
        <v>-22568.8311055693</v>
      </c>
      <c r="U39" s="65" t="n">
        <f aca="false">-Overheads!U15</f>
        <v>-7689.08918028669</v>
      </c>
      <c r="V39" s="65" t="n">
        <f aca="false">-Overheads!V15</f>
        <v>-15244.7835923579</v>
      </c>
      <c r="W39" s="65" t="n">
        <f aca="false">-Overheads!W15</f>
        <v>-15461.0863166168</v>
      </c>
      <c r="X39" s="65" t="n">
        <f aca="false">-Overheads!X15</f>
        <v>-7957.4427493349</v>
      </c>
      <c r="Y39" s="65" t="n">
        <f aca="false">-Overheads!Y15</f>
        <v>-15516.7760290749</v>
      </c>
      <c r="Z39" s="65" t="n">
        <f aca="false">-Overheads!Z15</f>
        <v>-8066.35492354034</v>
      </c>
      <c r="AA39" s="65" t="n">
        <f aca="false">-Overheads!AA15</f>
        <v>-8065.55161403546</v>
      </c>
      <c r="AB39" s="65" t="n">
        <f aca="false">-Overheads!AB15</f>
        <v>-8127.72692283608</v>
      </c>
    </row>
    <row r="40" customFormat="false" ht="15" hidden="false" customHeight="false" outlineLevel="0" collapsed="false">
      <c r="A40" s="28" t="s">
        <v>432</v>
      </c>
      <c r="B40" s="62" t="s">
        <v>77</v>
      </c>
      <c r="C40" s="64" t="n">
        <f aca="false">SUM(E40:P40)</f>
        <v>-131584</v>
      </c>
      <c r="D40" s="64" t="n">
        <f aca="false">SUM(Q40:AB40)</f>
        <v>-135300</v>
      </c>
      <c r="E40" s="65" t="n">
        <f aca="false">-Overheads!E16</f>
        <v>-11939.7</v>
      </c>
      <c r="F40" s="65" t="n">
        <f aca="false">-Overheads!F16</f>
        <v>-11991.62</v>
      </c>
      <c r="G40" s="65" t="n">
        <f aca="false">-Overheads!G16</f>
        <v>-11894.58</v>
      </c>
      <c r="H40" s="65" t="n">
        <f aca="false">-Overheads!H16</f>
        <v>-10435.89</v>
      </c>
      <c r="I40" s="65" t="n">
        <f aca="false">-Overheads!I16</f>
        <v>-10844.45</v>
      </c>
      <c r="J40" s="65" t="n">
        <f aca="false">-Overheads!J16</f>
        <v>-10029.29</v>
      </c>
      <c r="K40" s="65" t="n">
        <f aca="false">-Overheads!K16</f>
        <v>-10860.83</v>
      </c>
      <c r="L40" s="65" t="n">
        <f aca="false">-Overheads!L16</f>
        <v>-9587.64</v>
      </c>
      <c r="M40" s="65" t="n">
        <f aca="false">-Overheads!M16</f>
        <v>-11000</v>
      </c>
      <c r="N40" s="65" t="n">
        <f aca="false">-Overheads!N16</f>
        <v>-11000</v>
      </c>
      <c r="O40" s="65" t="n">
        <f aca="false">-Overheads!O16</f>
        <v>-11000</v>
      </c>
      <c r="P40" s="65" t="n">
        <f aca="false">-Overheads!P16</f>
        <v>-11000</v>
      </c>
      <c r="Q40" s="65" t="n">
        <f aca="false">-Overheads!Q16</f>
        <v>-11275</v>
      </c>
      <c r="R40" s="65" t="n">
        <f aca="false">-Overheads!R16</f>
        <v>-11275</v>
      </c>
      <c r="S40" s="65" t="n">
        <f aca="false">-Overheads!S16</f>
        <v>-11275</v>
      </c>
      <c r="T40" s="65" t="n">
        <f aca="false">-Overheads!T16</f>
        <v>-11275</v>
      </c>
      <c r="U40" s="65" t="n">
        <f aca="false">-Overheads!U16</f>
        <v>-11275</v>
      </c>
      <c r="V40" s="65" t="n">
        <f aca="false">-Overheads!V16</f>
        <v>-11275</v>
      </c>
      <c r="W40" s="65" t="n">
        <f aca="false">-Overheads!W16</f>
        <v>-11275</v>
      </c>
      <c r="X40" s="65" t="n">
        <f aca="false">-Overheads!X16</f>
        <v>-11275</v>
      </c>
      <c r="Y40" s="65" t="n">
        <f aca="false">-Overheads!Y16</f>
        <v>-11275</v>
      </c>
      <c r="Z40" s="65" t="n">
        <f aca="false">-Overheads!Z16</f>
        <v>-11275</v>
      </c>
      <c r="AA40" s="65" t="n">
        <f aca="false">-Overheads!AA16</f>
        <v>-11275</v>
      </c>
      <c r="AB40" s="65" t="n">
        <f aca="false">-Overheads!AB16</f>
        <v>-11275</v>
      </c>
    </row>
    <row r="41" customFormat="false" ht="15" hidden="false" customHeight="false" outlineLevel="0" collapsed="false">
      <c r="A41" s="28" t="s">
        <v>433</v>
      </c>
      <c r="B41" s="62" t="s">
        <v>77</v>
      </c>
      <c r="C41" s="64" t="n">
        <f aca="false">SUM(E41:P41)</f>
        <v>-16800</v>
      </c>
      <c r="D41" s="64" t="n">
        <f aca="false">SUM(Q41:AB41)</f>
        <v>-17600</v>
      </c>
      <c r="E41" s="65" t="n">
        <f aca="false">-Overheads!E17</f>
        <v>-1400</v>
      </c>
      <c r="F41" s="65" t="n">
        <f aca="false">-Overheads!F17</f>
        <v>-1400</v>
      </c>
      <c r="G41" s="65" t="n">
        <f aca="false">-Overheads!G17</f>
        <v>-1400</v>
      </c>
      <c r="H41" s="65" t="n">
        <f aca="false">-Overheads!H17</f>
        <v>-1400</v>
      </c>
      <c r="I41" s="65" t="n">
        <f aca="false">-Overheads!I17</f>
        <v>-1400</v>
      </c>
      <c r="J41" s="65" t="n">
        <f aca="false">-Overheads!J17</f>
        <v>-1400</v>
      </c>
      <c r="K41" s="65" t="n">
        <f aca="false">-Overheads!K17</f>
        <v>-1400</v>
      </c>
      <c r="L41" s="65" t="n">
        <f aca="false">-Overheads!L17</f>
        <v>-1400</v>
      </c>
      <c r="M41" s="65" t="n">
        <f aca="false">-Overheads!M17</f>
        <v>-1400</v>
      </c>
      <c r="N41" s="65" t="n">
        <f aca="false">-Overheads!N17</f>
        <v>-1400</v>
      </c>
      <c r="O41" s="65" t="n">
        <f aca="false">-Overheads!O17</f>
        <v>-1400</v>
      </c>
      <c r="P41" s="65" t="n">
        <f aca="false">-Overheads!P17</f>
        <v>-1400</v>
      </c>
      <c r="Q41" s="65" t="n">
        <f aca="false">-Overheads!Q17</f>
        <v>-1466.66666666667</v>
      </c>
      <c r="R41" s="65" t="n">
        <f aca="false">-Overheads!R17</f>
        <v>-1466.66666666667</v>
      </c>
      <c r="S41" s="65" t="n">
        <f aca="false">-Overheads!S17</f>
        <v>-1466.66666666667</v>
      </c>
      <c r="T41" s="65" t="n">
        <f aca="false">-Overheads!T17</f>
        <v>-1466.66666666667</v>
      </c>
      <c r="U41" s="65" t="n">
        <f aca="false">-Overheads!U17</f>
        <v>-1466.66666666667</v>
      </c>
      <c r="V41" s="65" t="n">
        <f aca="false">-Overheads!V17</f>
        <v>-1466.66666666667</v>
      </c>
      <c r="W41" s="65" t="n">
        <f aca="false">-Overheads!W17</f>
        <v>-1466.66666666667</v>
      </c>
      <c r="X41" s="65" t="n">
        <f aca="false">-Overheads!X17</f>
        <v>-1466.66666666667</v>
      </c>
      <c r="Y41" s="65" t="n">
        <f aca="false">-Overheads!Y17</f>
        <v>-1466.66666666667</v>
      </c>
      <c r="Z41" s="65" t="n">
        <f aca="false">-Overheads!Z17</f>
        <v>-1466.66666666667</v>
      </c>
      <c r="AA41" s="65" t="n">
        <f aca="false">-Overheads!AA17</f>
        <v>-1466.66666666667</v>
      </c>
      <c r="AB41" s="65" t="n">
        <f aca="false">-Overheads!AB17</f>
        <v>-1466.66666666667</v>
      </c>
    </row>
    <row r="42" customFormat="false" ht="15" hidden="false" customHeight="false" outlineLevel="0" collapsed="false">
      <c r="A42" s="58" t="s">
        <v>434</v>
      </c>
      <c r="B42" s="59"/>
      <c r="C42" s="60" t="n">
        <f aca="false">SUM(E42:P42)</f>
        <v>-9493120.90349293</v>
      </c>
      <c r="D42" s="60" t="n">
        <f aca="false">SUM(Q42:AB42)</f>
        <v>-10802090.3473557</v>
      </c>
      <c r="E42" s="60" t="n">
        <f aca="false">SUM(E29:E41)</f>
        <v>-763851.024188976</v>
      </c>
      <c r="F42" s="60" t="n">
        <f aca="false">SUM(F29:F41)</f>
        <v>-797828.559852005</v>
      </c>
      <c r="G42" s="60" t="n">
        <f aca="false">SUM(G29:G41)</f>
        <v>-827178.232542697</v>
      </c>
      <c r="H42" s="60" t="n">
        <f aca="false">SUM(H29:H41)</f>
        <v>-840150.754304896</v>
      </c>
      <c r="I42" s="60" t="n">
        <f aca="false">SUM(I29:I41)</f>
        <v>-760556.627853624</v>
      </c>
      <c r="J42" s="60" t="n">
        <f aca="false">SUM(J29:J41)</f>
        <v>-863535.309805445</v>
      </c>
      <c r="K42" s="60" t="n">
        <f aca="false">SUM(K29:K41)</f>
        <v>-769685.413376861</v>
      </c>
      <c r="L42" s="60" t="n">
        <f aca="false">SUM(L29:L41)</f>
        <v>-608725.434188743</v>
      </c>
      <c r="M42" s="60" t="n">
        <f aca="false">SUM(M29:M41)</f>
        <v>-802291.639831686</v>
      </c>
      <c r="N42" s="60" t="n">
        <f aca="false">SUM(N29:N41)</f>
        <v>-831274.65234695</v>
      </c>
      <c r="O42" s="60" t="n">
        <f aca="false">SUM(O29:O41)</f>
        <v>-842536.320433503</v>
      </c>
      <c r="P42" s="60" t="n">
        <f aca="false">SUM(P29:P41)</f>
        <v>-785506.93476754</v>
      </c>
      <c r="Q42" s="60" t="n">
        <f aca="false">SUM(Q29:Q41)</f>
        <v>-909180.622802491</v>
      </c>
      <c r="R42" s="60" t="n">
        <f aca="false">SUM(R29:R41)</f>
        <v>-906816.159348385</v>
      </c>
      <c r="S42" s="60" t="n">
        <f aca="false">SUM(S29:S41)</f>
        <v>-922284.817017181</v>
      </c>
      <c r="T42" s="60" t="n">
        <f aca="false">SUM(T29:T41)</f>
        <v>-921738.88359134</v>
      </c>
      <c r="U42" s="60" t="n">
        <f aca="false">SUM(U29:U41)</f>
        <v>-858781.952490288</v>
      </c>
      <c r="V42" s="60" t="n">
        <f aca="false">SUM(V29:V41)</f>
        <v>-967557.558889607</v>
      </c>
      <c r="W42" s="60" t="n">
        <f aca="false">SUM(W29:W41)</f>
        <v>-860478.988743188</v>
      </c>
      <c r="X42" s="60" t="n">
        <f aca="false">SUM(X29:X41)</f>
        <v>-712817.234023479</v>
      </c>
      <c r="Y42" s="60" t="n">
        <f aca="false">SUM(Y29:Y41)</f>
        <v>-946484.152160729</v>
      </c>
      <c r="Z42" s="60" t="n">
        <f aca="false">SUM(Z29:Z41)</f>
        <v>-946737.660218566</v>
      </c>
      <c r="AA42" s="60" t="n">
        <f aca="false">SUM(AA29:AA41)</f>
        <v>-950804.508847854</v>
      </c>
      <c r="AB42" s="60" t="n">
        <f aca="false">SUM(AB29:AB41)</f>
        <v>-898407.809222557</v>
      </c>
    </row>
    <row r="43" customFormat="false" ht="15" hidden="false" customHeight="false" outlineLevel="0" collapsed="false">
      <c r="A43" s="28" t="s">
        <v>435</v>
      </c>
      <c r="B43" s="62" t="s">
        <v>63</v>
      </c>
      <c r="C43" s="64" t="n">
        <f aca="false">SUM(E43:P43)</f>
        <v>1137599.27210099</v>
      </c>
      <c r="D43" s="64" t="n">
        <f aca="false">SUM(Q43:AB43)</f>
        <v>1311775.13838346</v>
      </c>
      <c r="E43" s="65" t="n">
        <f aca="false">Research_Credit!E11</f>
        <v>89210.6082</v>
      </c>
      <c r="F43" s="65" t="n">
        <f aca="false">Research_Credit!F11</f>
        <v>93117.4902</v>
      </c>
      <c r="G43" s="65" t="n">
        <f aca="false">Research_Credit!G11</f>
        <v>94080.7266</v>
      </c>
      <c r="H43" s="65" t="n">
        <f aca="false">Research_Credit!H11</f>
        <v>97638.9456</v>
      </c>
      <c r="I43" s="65" t="n">
        <f aca="false">Research_Credit!I11</f>
        <v>96313.8624</v>
      </c>
      <c r="J43" s="65" t="n">
        <f aca="false">Research_Credit!J11</f>
        <v>96551.2884</v>
      </c>
      <c r="K43" s="65" t="n">
        <f aca="false">Research_Credit!K11</f>
        <v>96941.5524</v>
      </c>
      <c r="L43" s="65" t="n">
        <f aca="false">Research_Credit!L11</f>
        <v>94514.8638</v>
      </c>
      <c r="M43" s="65" t="n">
        <f aca="false">Research_Credit!M11</f>
        <v>93308.6032344667</v>
      </c>
      <c r="N43" s="65" t="n">
        <f aca="false">Research_Credit!N11</f>
        <v>95319.4832138461</v>
      </c>
      <c r="O43" s="65" t="n">
        <f aca="false">Research_Credit!O11</f>
        <v>95309.2600965974</v>
      </c>
      <c r="P43" s="65" t="n">
        <f aca="false">Research_Credit!P11</f>
        <v>95292.5879560796</v>
      </c>
      <c r="Q43" s="65" t="n">
        <f aca="false">Research_Credit!Q11</f>
        <v>105368.748594889</v>
      </c>
      <c r="R43" s="65" t="n">
        <f aca="false">Research_Credit!R11</f>
        <v>105308.747147387</v>
      </c>
      <c r="S43" s="65" t="n">
        <f aca="false">Research_Credit!S11</f>
        <v>108121.209012948</v>
      </c>
      <c r="T43" s="65" t="n">
        <f aca="false">Research_Credit!T11</f>
        <v>108098.271842797</v>
      </c>
      <c r="U43" s="65" t="n">
        <f aca="false">Research_Credit!U11</f>
        <v>108075.025803669</v>
      </c>
      <c r="V43" s="65" t="n">
        <f aca="false">Research_Credit!V11</f>
        <v>109364.170198746</v>
      </c>
      <c r="W43" s="65" t="n">
        <f aca="false">Research_Credit!W11</f>
        <v>109353.62104578</v>
      </c>
      <c r="X43" s="65" t="n">
        <f aca="false">Research_Credit!X11</f>
        <v>109342.966085429</v>
      </c>
      <c r="Y43" s="65" t="n">
        <f aca="false">Research_Credit!Y11</f>
        <v>112215.249189973</v>
      </c>
      <c r="Z43" s="65" t="n">
        <f aca="false">Research_Credit!Z11</f>
        <v>112191.402288772</v>
      </c>
      <c r="AA43" s="65" t="n">
        <f aca="false">Research_Credit!AA11</f>
        <v>112167.66532041</v>
      </c>
      <c r="AB43" s="65" t="n">
        <f aca="false">Research_Credit!AB11</f>
        <v>112168.061852657</v>
      </c>
    </row>
    <row r="44" customFormat="false" ht="15" hidden="false" customHeight="false" outlineLevel="0" collapsed="false">
      <c r="A44" s="58" t="s">
        <v>392</v>
      </c>
      <c r="B44" s="59"/>
      <c r="C44" s="60" t="n">
        <f aca="false">SUM(E44:P44)</f>
        <v>-4483458.73454856</v>
      </c>
      <c r="D44" s="60" t="n">
        <f aca="false">SUM(Q44:AB44)</f>
        <v>-4111553.04559383</v>
      </c>
      <c r="E44" s="60" t="n">
        <f aca="false">E26+E42+E43</f>
        <v>-382177.400645337</v>
      </c>
      <c r="F44" s="60" t="n">
        <f aca="false">F26+F42+F43</f>
        <v>-430481.377394374</v>
      </c>
      <c r="G44" s="60" t="n">
        <f aca="false">G26+G42+G43</f>
        <v>-430888.496739511</v>
      </c>
      <c r="H44" s="60" t="n">
        <f aca="false">H26+H42+H43</f>
        <v>-460324.960337627</v>
      </c>
      <c r="I44" s="60" t="n">
        <f aca="false">I26+I42+I43</f>
        <v>-361410.490616649</v>
      </c>
      <c r="J44" s="60" t="n">
        <f aca="false">J26+J42+J43</f>
        <v>-473889.77193321</v>
      </c>
      <c r="K44" s="60" t="n">
        <f aca="false">K26+K42+K43</f>
        <v>-359287.248519354</v>
      </c>
      <c r="L44" s="60" t="n">
        <f aca="false">L26+L42+L43</f>
        <v>-184909.742872315</v>
      </c>
      <c r="M44" s="60" t="n">
        <f aca="false">M26+M42+M43</f>
        <v>-290278.709107914</v>
      </c>
      <c r="N44" s="60" t="n">
        <f aca="false">N26+N42+N43</f>
        <v>-396179.025905192</v>
      </c>
      <c r="O44" s="60" t="n">
        <f aca="false">O26+O42+O43</f>
        <v>-391586.651287306</v>
      </c>
      <c r="P44" s="60" t="n">
        <f aca="false">P26+P42+P43</f>
        <v>-322044.859189774</v>
      </c>
      <c r="Q44" s="60" t="n">
        <f aca="false">Q26+Q42+Q43</f>
        <v>-423360.010258018</v>
      </c>
      <c r="R44" s="60" t="n">
        <f aca="false">R26+R42+R43</f>
        <v>-427150.469002699</v>
      </c>
      <c r="S44" s="60" t="n">
        <f aca="false">S26+S42+S43</f>
        <v>-324702.98098255</v>
      </c>
      <c r="T44" s="60" t="n">
        <f aca="false">T26+T42+T43</f>
        <v>-425058.748807602</v>
      </c>
      <c r="U44" s="60" t="n">
        <f aca="false">U26+U42+U43</f>
        <v>-343563.906644452</v>
      </c>
      <c r="V44" s="60" t="n">
        <f aca="false">V26+V42+V43</f>
        <v>-334771.485919607</v>
      </c>
      <c r="W44" s="60" t="n">
        <f aca="false">W26+W42+W43</f>
        <v>-326608.78841698</v>
      </c>
      <c r="X44" s="60" t="n">
        <f aca="false">X26+X42+X43</f>
        <v>-149975.067065982</v>
      </c>
      <c r="Y44" s="60" t="n">
        <f aca="false">Y26+Y42+Y43</f>
        <v>-354803.650945216</v>
      </c>
      <c r="Z44" s="60" t="n">
        <f aca="false">Z26+Z42+Z43</f>
        <v>-327985.18432648</v>
      </c>
      <c r="AA44" s="60" t="n">
        <f aca="false">AA26+AA42+AA43</f>
        <v>-349976.104851962</v>
      </c>
      <c r="AB44" s="60" t="n">
        <f aca="false">AB26+AB42+AB43</f>
        <v>-323596.648372282</v>
      </c>
    </row>
    <row r="45" customFormat="false" ht="15" hidden="false" customHeight="false" outlineLevel="0" collapsed="false">
      <c r="A45" s="28" t="s">
        <v>436</v>
      </c>
      <c r="B45" s="62"/>
      <c r="C45" s="66" t="n">
        <f aca="false">IF(C15=0,0,C44/C15)</f>
        <v>-0.677748164741482</v>
      </c>
      <c r="D45" s="66" t="n">
        <f aca="false">IF(D15=0,0,D44/D15)</f>
        <v>-0.473470019499242</v>
      </c>
      <c r="E45" s="75" t="n">
        <f aca="false">IF(E15=0,0,E44/E15)</f>
        <v>-0.769805538875981</v>
      </c>
      <c r="F45" s="75" t="n">
        <f aca="false">IF(F15=0,0,F44/F15)</f>
        <v>-0.90649183546236</v>
      </c>
      <c r="G45" s="75" t="n">
        <f aca="false">IF(G15=0,0,G44/G15)</f>
        <v>-0.839644119517967</v>
      </c>
      <c r="H45" s="75" t="n">
        <f aca="false">IF(H15=0,0,H44/H15)</f>
        <v>-0.941417578769563</v>
      </c>
      <c r="I45" s="75" t="n">
        <f aca="false">IF(I15=0,0,I44/I15)</f>
        <v>-0.690269251328785</v>
      </c>
      <c r="J45" s="75" t="n">
        <f aca="false">IF(J15=0,0,J44/J15)</f>
        <v>-0.83398072860189</v>
      </c>
      <c r="K45" s="75" t="n">
        <f aca="false">IF(K15=0,0,K44/K15)</f>
        <v>-0.633768394311072</v>
      </c>
      <c r="L45" s="75" t="n">
        <f aca="false">IF(L15=0,0,L44/L15)</f>
        <v>-0.322061561225798</v>
      </c>
      <c r="M45" s="75" t="n">
        <f aca="false">IF(M15=0,0,M44/M15)</f>
        <v>-0.438633502801133</v>
      </c>
      <c r="N45" s="75" t="n">
        <f aca="false">IF(N15=0,0,N44/N15)</f>
        <v>-0.70306013365815</v>
      </c>
      <c r="O45" s="75" t="n">
        <f aca="false">IF(O15=0,0,O44/O15)</f>
        <v>-0.668610465426011</v>
      </c>
      <c r="P45" s="75" t="n">
        <f aca="false">IF(P15=0,0,P44/P15)</f>
        <v>-0.538611139338334</v>
      </c>
      <c r="Q45" s="75" t="n">
        <f aca="false">IF(Q15=0,0,Q44/Q15)</f>
        <v>-0.660391099766217</v>
      </c>
      <c r="R45" s="75" t="n">
        <f aca="false">IF(R15=0,0,R44/R15)</f>
        <v>-0.674680333067593</v>
      </c>
      <c r="S45" s="75" t="n">
        <f aca="false">IF(S15=0,0,S44/S15)</f>
        <v>-0.428604426955087</v>
      </c>
      <c r="T45" s="75" t="n">
        <f aca="false">IF(T15=0,0,T44/T15)</f>
        <v>-0.644848495194651</v>
      </c>
      <c r="U45" s="75" t="n">
        <f aca="false">IF(U15=0,0,U44/U15)</f>
        <v>-0.504029786774243</v>
      </c>
      <c r="V45" s="75" t="n">
        <f aca="false">IF(V15=0,0,V44/V15)</f>
        <v>-0.416374278810086</v>
      </c>
      <c r="W45" s="75" t="n">
        <f aca="false">IF(W15=0,0,W44/W15)</f>
        <v>-0.470920958477931</v>
      </c>
      <c r="X45" s="75" t="n">
        <f aca="false">IF(X15=0,0,X44/X15)</f>
        <v>-0.211069314577456</v>
      </c>
      <c r="Y45" s="75" t="n">
        <f aca="false">IF(Y15=0,0,Y44/Y15)</f>
        <v>-0.461732848831472</v>
      </c>
      <c r="Z45" s="75" t="n">
        <f aca="false">IF(Z15=0,0,Z44/Z15)</f>
        <v>-0.412022814016994</v>
      </c>
      <c r="AA45" s="75" t="n">
        <f aca="false">IF(AA15=0,0,AA44/AA15)</f>
        <v>-0.446907406023916</v>
      </c>
      <c r="AB45" s="75" t="n">
        <f aca="false">IF(AB15=0,0,AB44/AB15)</f>
        <v>-0.428249363258993</v>
      </c>
    </row>
    <row r="46" customFormat="false" ht="15" hidden="false" customHeight="false" outlineLevel="0" collapsed="false">
      <c r="A46" s="28" t="s">
        <v>437</v>
      </c>
      <c r="B46" s="62"/>
      <c r="C46" s="64" t="n">
        <f aca="false">SUM(E46:P46)</f>
        <v>-5621058.00664955</v>
      </c>
      <c r="D46" s="64" t="n">
        <f aca="false">SUM(Q46:AB46)</f>
        <v>-5423328.18397729</v>
      </c>
      <c r="E46" s="73" t="n">
        <f aca="false">E44-E43</f>
        <v>-471388.008845337</v>
      </c>
      <c r="F46" s="73" t="n">
        <f aca="false">F44-F43</f>
        <v>-523598.867594374</v>
      </c>
      <c r="G46" s="73" t="n">
        <f aca="false">G44-G43</f>
        <v>-524969.223339511</v>
      </c>
      <c r="H46" s="73" t="n">
        <f aca="false">H44-H43</f>
        <v>-557963.905937627</v>
      </c>
      <c r="I46" s="73" t="n">
        <f aca="false">I44-I43</f>
        <v>-457724.353016649</v>
      </c>
      <c r="J46" s="73" t="n">
        <f aca="false">J44-J43</f>
        <v>-570441.06033321</v>
      </c>
      <c r="K46" s="73" t="n">
        <f aca="false">K44-K43</f>
        <v>-456228.800919354</v>
      </c>
      <c r="L46" s="73" t="n">
        <f aca="false">L44-L43</f>
        <v>-279424.606672315</v>
      </c>
      <c r="M46" s="73" t="n">
        <f aca="false">M44-M43</f>
        <v>-383587.312342381</v>
      </c>
      <c r="N46" s="73" t="n">
        <f aca="false">N44-N43</f>
        <v>-491498.509119038</v>
      </c>
      <c r="O46" s="73" t="n">
        <f aca="false">O44-O43</f>
        <v>-486895.911383904</v>
      </c>
      <c r="P46" s="73" t="n">
        <f aca="false">P44-P43</f>
        <v>-417337.447145853</v>
      </c>
      <c r="Q46" s="73" t="n">
        <f aca="false">Q44-Q43</f>
        <v>-528728.758852908</v>
      </c>
      <c r="R46" s="73" t="n">
        <f aca="false">R44-R43</f>
        <v>-532459.216150086</v>
      </c>
      <c r="S46" s="73" t="n">
        <f aca="false">S44-S43</f>
        <v>-432824.189995498</v>
      </c>
      <c r="T46" s="73" t="n">
        <f aca="false">T44-T43</f>
        <v>-533157.020650399</v>
      </c>
      <c r="U46" s="73" t="n">
        <f aca="false">U44-U43</f>
        <v>-451638.932448121</v>
      </c>
      <c r="V46" s="73" t="n">
        <f aca="false">V44-V43</f>
        <v>-444135.656118353</v>
      </c>
      <c r="W46" s="73" t="n">
        <f aca="false">W44-W43</f>
        <v>-435962.40946276</v>
      </c>
      <c r="X46" s="73" t="n">
        <f aca="false">X44-X43</f>
        <v>-259318.033151411</v>
      </c>
      <c r="Y46" s="73" t="n">
        <f aca="false">Y44-Y43</f>
        <v>-467018.900135189</v>
      </c>
      <c r="Z46" s="73" t="n">
        <f aca="false">Z44-Z43</f>
        <v>-440176.586615252</v>
      </c>
      <c r="AA46" s="73" t="n">
        <f aca="false">AA44-AA43</f>
        <v>-462143.770172372</v>
      </c>
      <c r="AB46" s="73" t="n">
        <f aca="false">AB44-AB43</f>
        <v>-435764.710224939</v>
      </c>
    </row>
    <row r="47" customFormat="false" ht="15" hidden="false" customHeight="false" outlineLevel="0" collapsed="false">
      <c r="A47" s="22" t="s">
        <v>438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false" outlineLevel="0" collapsed="false">
      <c r="A48" s="28" t="s">
        <v>439</v>
      </c>
      <c r="B48" s="62" t="s">
        <v>79</v>
      </c>
      <c r="C48" s="64" t="n">
        <f aca="false">SUM(E48:P48)</f>
        <v>-82736.6538888889</v>
      </c>
      <c r="D48" s="64" t="n">
        <f aca="false">SUM(Q48:AB48)</f>
        <v>-108894.858999866</v>
      </c>
      <c r="E48" s="65" t="n">
        <f aca="false">-Fixed_Assets!E11</f>
        <v>-6000</v>
      </c>
      <c r="F48" s="65" t="n">
        <f aca="false">-Fixed_Assets!F11</f>
        <v>-6140.49305555556</v>
      </c>
      <c r="G48" s="65" t="n">
        <f aca="false">-Fixed_Assets!G11</f>
        <v>-6342.45666666667</v>
      </c>
      <c r="H48" s="65" t="n">
        <f aca="false">-Fixed_Assets!H11</f>
        <v>-6606.68166666667</v>
      </c>
      <c r="I48" s="65" t="n">
        <f aca="false">-Fixed_Assets!I11</f>
        <v>-6808.40722222222</v>
      </c>
      <c r="J48" s="65" t="n">
        <f aca="false">-Fixed_Assets!J11</f>
        <v>-6938.78388888889</v>
      </c>
      <c r="K48" s="65" t="n">
        <f aca="false">-Fixed_Assets!K11</f>
        <v>-7090.54694444444</v>
      </c>
      <c r="L48" s="65" t="n">
        <f aca="false">-Fixed_Assets!L11</f>
        <v>-7152.59</v>
      </c>
      <c r="M48" s="65" t="n">
        <f aca="false">-Fixed_Assets!M11</f>
        <v>-7213.28472222222</v>
      </c>
      <c r="N48" s="65" t="n">
        <f aca="false">-Fixed_Assets!N11</f>
        <v>-7282.72916666667</v>
      </c>
      <c r="O48" s="65" t="n">
        <f aca="false">-Fixed_Assets!O11</f>
        <v>-7485.50694444444</v>
      </c>
      <c r="P48" s="65" t="n">
        <f aca="false">-Fixed_Assets!P11</f>
        <v>-7675.17361111111</v>
      </c>
      <c r="Q48" s="65" t="n">
        <f aca="false">-Fixed_Assets!Q11</f>
        <v>-7797.55268518519</v>
      </c>
      <c r="R48" s="65" t="n">
        <f aca="false">-Fixed_Assets!R11</f>
        <v>-8254.04102608025</v>
      </c>
      <c r="S48" s="65" t="n">
        <f aca="false">-Fixed_Assets!S11</f>
        <v>-8444.97459492451</v>
      </c>
      <c r="T48" s="65" t="n">
        <f aca="false">-Fixed_Assets!T11</f>
        <v>-8635.88240617195</v>
      </c>
      <c r="U48" s="65" t="n">
        <f aca="false">-Fixed_Assets!U11</f>
        <v>-8897.04979377701</v>
      </c>
      <c r="V48" s="65" t="n">
        <f aca="false">-Fixed_Assets!V11</f>
        <v>-9025.95280871289</v>
      </c>
      <c r="W48" s="65" t="n">
        <f aca="false">-Fixed_Assets!W11</f>
        <v>-9222.01755175607</v>
      </c>
      <c r="X48" s="65" t="n">
        <f aca="false">-Fixed_Assets!X11</f>
        <v>-9420.00498568155</v>
      </c>
      <c r="Y48" s="65" t="n">
        <f aca="false">-Fixed_Assets!Y11</f>
        <v>-9551.29336567564</v>
      </c>
      <c r="Z48" s="65" t="n">
        <f aca="false">-Fixed_Assets!Z11</f>
        <v>-9749.77581926742</v>
      </c>
      <c r="AA48" s="65" t="n">
        <f aca="false">-Fixed_Assets!AA11</f>
        <v>-9882.03230747666</v>
      </c>
      <c r="AB48" s="65" t="n">
        <f aca="false">-Fixed_Assets!AB11</f>
        <v>-10014.281655157</v>
      </c>
    </row>
    <row r="49" customFormat="false" ht="15" hidden="false" customHeight="false" outlineLevel="0" collapsed="false">
      <c r="A49" s="58" t="s">
        <v>440</v>
      </c>
      <c r="B49" s="59"/>
      <c r="C49" s="60" t="n">
        <f aca="false">SUM(E49:P49)</f>
        <v>-4566195.38843745</v>
      </c>
      <c r="D49" s="60" t="n">
        <f aca="false">SUM(Q49:AB49)</f>
        <v>-4220447.9045937</v>
      </c>
      <c r="E49" s="60" t="n">
        <f aca="false">E44+E48</f>
        <v>-388177.400645337</v>
      </c>
      <c r="F49" s="60" t="n">
        <f aca="false">F44+F48</f>
        <v>-436621.870449929</v>
      </c>
      <c r="G49" s="60" t="n">
        <f aca="false">G44+G48</f>
        <v>-437230.953406178</v>
      </c>
      <c r="H49" s="60" t="n">
        <f aca="false">H44+H48</f>
        <v>-466931.642004293</v>
      </c>
      <c r="I49" s="60" t="n">
        <f aca="false">I44+I48</f>
        <v>-368218.897838871</v>
      </c>
      <c r="J49" s="60" t="n">
        <f aca="false">J44+J48</f>
        <v>-480828.555822098</v>
      </c>
      <c r="K49" s="60" t="n">
        <f aca="false">K44+K48</f>
        <v>-366377.795463799</v>
      </c>
      <c r="L49" s="60" t="n">
        <f aca="false">L44+L48</f>
        <v>-192062.332872315</v>
      </c>
      <c r="M49" s="60" t="n">
        <f aca="false">M44+M48</f>
        <v>-297491.993830136</v>
      </c>
      <c r="N49" s="60" t="n">
        <f aca="false">N44+N48</f>
        <v>-403461.755071858</v>
      </c>
      <c r="O49" s="60" t="n">
        <f aca="false">O44+O48</f>
        <v>-399072.158231751</v>
      </c>
      <c r="P49" s="60" t="n">
        <f aca="false">P44+P48</f>
        <v>-329720.032800885</v>
      </c>
      <c r="Q49" s="60" t="n">
        <f aca="false">Q44+Q48</f>
        <v>-431157.562943204</v>
      </c>
      <c r="R49" s="60" t="n">
        <f aca="false">R44+R48</f>
        <v>-435404.510028779</v>
      </c>
      <c r="S49" s="60" t="n">
        <f aca="false">S44+S48</f>
        <v>-333147.955577474</v>
      </c>
      <c r="T49" s="60" t="n">
        <f aca="false">T44+T48</f>
        <v>-433694.631213774</v>
      </c>
      <c r="U49" s="60" t="n">
        <f aca="false">U44+U48</f>
        <v>-352460.956438229</v>
      </c>
      <c r="V49" s="60" t="n">
        <f aca="false">V44+V48</f>
        <v>-343797.43872832</v>
      </c>
      <c r="W49" s="60" t="n">
        <f aca="false">W44+W48</f>
        <v>-335830.805968736</v>
      </c>
      <c r="X49" s="60" t="n">
        <f aca="false">X44+X48</f>
        <v>-159395.072051663</v>
      </c>
      <c r="Y49" s="60" t="n">
        <f aca="false">Y44+Y48</f>
        <v>-364354.944310892</v>
      </c>
      <c r="Z49" s="60" t="n">
        <f aca="false">Z44+Z48</f>
        <v>-337734.960145748</v>
      </c>
      <c r="AA49" s="60" t="n">
        <f aca="false">AA44+AA48</f>
        <v>-359858.137159439</v>
      </c>
      <c r="AB49" s="60" t="n">
        <f aca="false">AB44+AB48</f>
        <v>-333610.930027439</v>
      </c>
    </row>
    <row r="50" customFormat="false" ht="15" hidden="false" customHeight="false" outlineLevel="0" collapsed="false">
      <c r="A50" s="28" t="s">
        <v>441</v>
      </c>
      <c r="B50" s="62" t="s">
        <v>81</v>
      </c>
      <c r="C50" s="64" t="n">
        <f aca="false">SUM(E50:P50)</f>
        <v>180593.562540258</v>
      </c>
      <c r="D50" s="64" t="n">
        <f aca="false">SUM(Q50:AB50)</f>
        <v>99259.2688773817</v>
      </c>
      <c r="E50" s="65" t="n">
        <f aca="false">Treasury!E8</f>
        <v>18300</v>
      </c>
      <c r="F50" s="65" t="n">
        <f aca="false">Treasury!F8</f>
        <v>17540.71</v>
      </c>
      <c r="G50" s="65" t="n">
        <f aca="false">Treasury!G8</f>
        <v>17000.73</v>
      </c>
      <c r="H50" s="65" t="n">
        <f aca="false">Treasury!H8</f>
        <v>16375.49</v>
      </c>
      <c r="I50" s="65" t="n">
        <f aca="false">Treasury!I8</f>
        <v>15411.49</v>
      </c>
      <c r="J50" s="65" t="n">
        <f aca="false">Treasury!J8</f>
        <v>14769.42</v>
      </c>
      <c r="K50" s="65" t="n">
        <f aca="false">Treasury!K8</f>
        <v>14166.97</v>
      </c>
      <c r="L50" s="65" t="n">
        <f aca="false">Treasury!L8</f>
        <v>14620.69</v>
      </c>
      <c r="M50" s="65" t="n">
        <f aca="false">Treasury!M8</f>
        <v>14005.8733835</v>
      </c>
      <c r="N50" s="65" t="n">
        <f aca="false">Treasury!N8</f>
        <v>13538.5452401385</v>
      </c>
      <c r="O50" s="65" t="n">
        <f aca="false">Treasury!O8</f>
        <v>12712.8582074112</v>
      </c>
      <c r="P50" s="65" t="n">
        <f aca="false">Treasury!P8</f>
        <v>12150.7857092078</v>
      </c>
      <c r="Q50" s="65" t="n">
        <f aca="false">Treasury!Q8</f>
        <v>11689.7800705489</v>
      </c>
      <c r="R50" s="65" t="n">
        <f aca="false">Treasury!R8</f>
        <v>10747.8254608842</v>
      </c>
      <c r="S50" s="65" t="n">
        <f aca="false">Treasury!S8</f>
        <v>10112.7177006206</v>
      </c>
      <c r="T50" s="65" t="n">
        <f aca="false">Treasury!T8</f>
        <v>9634.36099474516</v>
      </c>
      <c r="U50" s="65" t="n">
        <f aca="false">Treasury!U8</f>
        <v>8736.96726028628</v>
      </c>
      <c r="V50" s="65" t="n">
        <f aca="false">Treasury!V8</f>
        <v>8162.57285931887</v>
      </c>
      <c r="W50" s="65" t="n">
        <f aca="false">Treasury!W8</f>
        <v>7690.9143385104</v>
      </c>
      <c r="X50" s="65" t="n">
        <f aca="false">Treasury!X8</f>
        <v>6825.95498385893</v>
      </c>
      <c r="Y50" s="65" t="n">
        <f aca="false">Treasury!Y8</f>
        <v>6107.68697797161</v>
      </c>
      <c r="Z50" s="65" t="n">
        <f aca="false">Treasury!Z8</f>
        <v>7280.33315408397</v>
      </c>
      <c r="AA50" s="65" t="n">
        <f aca="false">Treasury!AA8</f>
        <v>6443.89963906621</v>
      </c>
      <c r="AB50" s="65" t="n">
        <f aca="false">Treasury!AB8</f>
        <v>5826.25543748651</v>
      </c>
    </row>
    <row r="51" customFormat="false" ht="15" hidden="false" customHeight="false" outlineLevel="0" collapsed="false">
      <c r="A51" s="28" t="s">
        <v>442</v>
      </c>
      <c r="B51" s="62" t="s">
        <v>71</v>
      </c>
      <c r="C51" s="64" t="n">
        <f aca="false">SUM(E51:P51)</f>
        <v>-2798.38577202175</v>
      </c>
      <c r="D51" s="64" t="n">
        <f aca="false">SUM(Q51:AB51)</f>
        <v>0</v>
      </c>
      <c r="E51" s="65" t="n">
        <f aca="false">Payables!E12</f>
        <v>266.389999999999</v>
      </c>
      <c r="F51" s="65" t="n">
        <f aca="false">Payables!F12</f>
        <v>903.601824997881</v>
      </c>
      <c r="G51" s="65" t="n">
        <f aca="false">Payables!G12</f>
        <v>-2821.30252135669</v>
      </c>
      <c r="H51" s="65" t="n">
        <f aca="false">Payables!H12</f>
        <v>1577.67856030457</v>
      </c>
      <c r="I51" s="65" t="n">
        <f aca="false">Payables!I12</f>
        <v>-338.280093976951</v>
      </c>
      <c r="J51" s="65" t="n">
        <f aca="false">Payables!J12</f>
        <v>-1778.68514178018</v>
      </c>
      <c r="K51" s="65" t="n">
        <f aca="false">Payables!K12</f>
        <v>-1168.66179213335</v>
      </c>
      <c r="L51" s="65" t="n">
        <f aca="false">Payables!L12</f>
        <v>2192.86983796096</v>
      </c>
      <c r="M51" s="65" t="n">
        <f aca="false">Payables!M12</f>
        <v>-1631.99644603799</v>
      </c>
      <c r="N51" s="65" t="n">
        <f aca="false">Payables!N12</f>
        <v>0</v>
      </c>
      <c r="O51" s="65" t="n">
        <f aca="false">Payables!O12</f>
        <v>0</v>
      </c>
      <c r="P51" s="65" t="n">
        <f aca="false">Payables!P12</f>
        <v>0</v>
      </c>
      <c r="Q51" s="65" t="n">
        <f aca="false">Payables!Q12</f>
        <v>0</v>
      </c>
      <c r="R51" s="65" t="n">
        <f aca="false">Payables!R12</f>
        <v>0</v>
      </c>
      <c r="S51" s="65" t="n">
        <f aca="false">Payables!S12</f>
        <v>0</v>
      </c>
      <c r="T51" s="65" t="n">
        <f aca="false">Payables!T12</f>
        <v>0</v>
      </c>
      <c r="U51" s="65" t="n">
        <f aca="false">Payables!U12</f>
        <v>0</v>
      </c>
      <c r="V51" s="65" t="n">
        <f aca="false">Payables!V12</f>
        <v>0</v>
      </c>
      <c r="W51" s="65" t="n">
        <f aca="false">Payables!W12</f>
        <v>0</v>
      </c>
      <c r="X51" s="65" t="n">
        <f aca="false">Payables!X12</f>
        <v>0</v>
      </c>
      <c r="Y51" s="65" t="n">
        <f aca="false">Payables!Y12</f>
        <v>0</v>
      </c>
      <c r="Z51" s="65" t="n">
        <f aca="false">Payables!Z12</f>
        <v>0</v>
      </c>
      <c r="AA51" s="65" t="n">
        <f aca="false">Payables!AA12</f>
        <v>0</v>
      </c>
      <c r="AB51" s="65" t="n">
        <f aca="false">Payables!AB12</f>
        <v>0</v>
      </c>
    </row>
    <row r="52" customFormat="false" ht="15" hidden="false" customHeight="false" outlineLevel="0" collapsed="false">
      <c r="A52" s="58" t="s">
        <v>443</v>
      </c>
      <c r="B52" s="59"/>
      <c r="C52" s="60" t="n">
        <f aca="false">SUM(E52:P52)</f>
        <v>-4388400.21166922</v>
      </c>
      <c r="D52" s="60" t="n">
        <f aca="false">SUM(Q52:AB52)</f>
        <v>-4121188.63571631</v>
      </c>
      <c r="E52" s="60" t="n">
        <f aca="false">E49+E50+E51</f>
        <v>-369611.010645337</v>
      </c>
      <c r="F52" s="60" t="n">
        <f aca="false">F49+F50+F51</f>
        <v>-418177.558624932</v>
      </c>
      <c r="G52" s="60" t="n">
        <f aca="false">G49+G50+G51</f>
        <v>-423051.525927534</v>
      </c>
      <c r="H52" s="60" t="n">
        <f aca="false">H49+H50+H51</f>
        <v>-448978.473443989</v>
      </c>
      <c r="I52" s="60" t="n">
        <f aca="false">I49+I50+I51</f>
        <v>-353145.687932848</v>
      </c>
      <c r="J52" s="60" t="n">
        <f aca="false">J49+J50+J51</f>
        <v>-467837.820963879</v>
      </c>
      <c r="K52" s="60" t="n">
        <f aca="false">K49+K50+K51</f>
        <v>-353379.487255932</v>
      </c>
      <c r="L52" s="60" t="n">
        <f aca="false">L49+L50+L51</f>
        <v>-175248.773034354</v>
      </c>
      <c r="M52" s="60" t="n">
        <f aca="false">M49+M50+M51</f>
        <v>-285118.116892674</v>
      </c>
      <c r="N52" s="60" t="n">
        <f aca="false">N49+N50+N51</f>
        <v>-389923.20983172</v>
      </c>
      <c r="O52" s="60" t="n">
        <f aca="false">O49+O50+O51</f>
        <v>-386359.30002434</v>
      </c>
      <c r="P52" s="60" t="n">
        <f aca="false">P49+P50+P51</f>
        <v>-317569.247091677</v>
      </c>
      <c r="Q52" s="60" t="n">
        <f aca="false">Q49+Q50+Q51</f>
        <v>-419467.782872655</v>
      </c>
      <c r="R52" s="60" t="n">
        <f aca="false">R49+R50+R51</f>
        <v>-424656.684567895</v>
      </c>
      <c r="S52" s="60" t="n">
        <f aca="false">S49+S50+S51</f>
        <v>-323035.237876854</v>
      </c>
      <c r="T52" s="60" t="n">
        <f aca="false">T49+T50+T51</f>
        <v>-424060.270219029</v>
      </c>
      <c r="U52" s="60" t="n">
        <f aca="false">U49+U50+U51</f>
        <v>-343723.989177943</v>
      </c>
      <c r="V52" s="60" t="n">
        <f aca="false">V49+V50+V51</f>
        <v>-335634.865869001</v>
      </c>
      <c r="W52" s="60" t="n">
        <f aca="false">W49+W50+W51</f>
        <v>-328139.891630226</v>
      </c>
      <c r="X52" s="60" t="n">
        <f aca="false">X49+X50+X51</f>
        <v>-152569.117067804</v>
      </c>
      <c r="Y52" s="60" t="n">
        <f aca="false">Y49+Y50+Y51</f>
        <v>-358247.25733292</v>
      </c>
      <c r="Z52" s="60" t="n">
        <f aca="false">Z49+Z50+Z51</f>
        <v>-330454.626991664</v>
      </c>
      <c r="AA52" s="60" t="n">
        <f aca="false">AA49+AA50+AA51</f>
        <v>-353414.237520372</v>
      </c>
      <c r="AB52" s="60" t="n">
        <f aca="false">AB49+AB50+AB51</f>
        <v>-327784.674589952</v>
      </c>
    </row>
    <row r="53" customFormat="false" ht="15" hidden="false" customHeight="false" outlineLevel="0" collapsed="false">
      <c r="A53" s="28" t="s">
        <v>444</v>
      </c>
      <c r="B53" s="62" t="s">
        <v>75</v>
      </c>
      <c r="C53" s="64" t="n">
        <f aca="false">SUM(E53:P53)</f>
        <v>0</v>
      </c>
      <c r="D53" s="64" t="n">
        <f aca="false">SUM(Q53:AB53)</f>
        <v>0</v>
      </c>
      <c r="E53" s="65" t="n">
        <f aca="false">-Tax!E16</f>
        <v>-0</v>
      </c>
      <c r="F53" s="65" t="n">
        <f aca="false">-Tax!F16</f>
        <v>-0</v>
      </c>
      <c r="G53" s="65" t="n">
        <f aca="false">-Tax!G16</f>
        <v>-0</v>
      </c>
      <c r="H53" s="65" t="n">
        <f aca="false">-Tax!H16</f>
        <v>-0</v>
      </c>
      <c r="I53" s="65" t="n">
        <f aca="false">-Tax!I16</f>
        <v>-0</v>
      </c>
      <c r="J53" s="65" t="n">
        <f aca="false">-Tax!J16</f>
        <v>-0</v>
      </c>
      <c r="K53" s="65" t="n">
        <f aca="false">-Tax!K16</f>
        <v>-0</v>
      </c>
      <c r="L53" s="65" t="n">
        <f aca="false">-Tax!L16</f>
        <v>-0</v>
      </c>
      <c r="M53" s="65" t="n">
        <f aca="false">-Tax!M16</f>
        <v>-0</v>
      </c>
      <c r="N53" s="65" t="n">
        <f aca="false">-Tax!N16</f>
        <v>-0</v>
      </c>
      <c r="O53" s="65" t="n">
        <f aca="false">-Tax!O16</f>
        <v>-0</v>
      </c>
      <c r="P53" s="65" t="n">
        <f aca="false">-Tax!P16</f>
        <v>-0</v>
      </c>
      <c r="Q53" s="65" t="n">
        <f aca="false">-Tax!Q16</f>
        <v>-0</v>
      </c>
      <c r="R53" s="65" t="n">
        <f aca="false">-Tax!R16</f>
        <v>-0</v>
      </c>
      <c r="S53" s="65" t="n">
        <f aca="false">-Tax!S16</f>
        <v>-0</v>
      </c>
      <c r="T53" s="65" t="n">
        <f aca="false">-Tax!T16</f>
        <v>-0</v>
      </c>
      <c r="U53" s="65" t="n">
        <f aca="false">-Tax!U16</f>
        <v>-0</v>
      </c>
      <c r="V53" s="65" t="n">
        <f aca="false">-Tax!V16</f>
        <v>-0</v>
      </c>
      <c r="W53" s="65" t="n">
        <f aca="false">-Tax!W16</f>
        <v>-0</v>
      </c>
      <c r="X53" s="65" t="n">
        <f aca="false">-Tax!X16</f>
        <v>-0</v>
      </c>
      <c r="Y53" s="65" t="n">
        <f aca="false">-Tax!Y16</f>
        <v>-0</v>
      </c>
      <c r="Z53" s="65" t="n">
        <f aca="false">-Tax!Z16</f>
        <v>-0</v>
      </c>
      <c r="AA53" s="65" t="n">
        <f aca="false">-Tax!AA16</f>
        <v>-0</v>
      </c>
      <c r="AB53" s="65" t="n">
        <f aca="false">-Tax!AB16</f>
        <v>-0</v>
      </c>
    </row>
    <row r="54" customFormat="false" ht="15" hidden="false" customHeight="false" outlineLevel="0" collapsed="false">
      <c r="A54" s="58" t="s">
        <v>445</v>
      </c>
      <c r="B54" s="59"/>
      <c r="C54" s="60" t="n">
        <f aca="false">SUM(E54:P54)</f>
        <v>-4388400.21166922</v>
      </c>
      <c r="D54" s="60" t="n">
        <f aca="false">SUM(Q54:AB54)</f>
        <v>-4121188.63571631</v>
      </c>
      <c r="E54" s="60" t="n">
        <f aca="false">E52+E53</f>
        <v>-369611.010645337</v>
      </c>
      <c r="F54" s="60" t="n">
        <f aca="false">F52+F53</f>
        <v>-418177.558624932</v>
      </c>
      <c r="G54" s="60" t="n">
        <f aca="false">G52+G53</f>
        <v>-423051.525927534</v>
      </c>
      <c r="H54" s="60" t="n">
        <f aca="false">H52+H53</f>
        <v>-448978.473443989</v>
      </c>
      <c r="I54" s="60" t="n">
        <f aca="false">I52+I53</f>
        <v>-353145.687932848</v>
      </c>
      <c r="J54" s="60" t="n">
        <f aca="false">J52+J53</f>
        <v>-467837.820963879</v>
      </c>
      <c r="K54" s="60" t="n">
        <f aca="false">K52+K53</f>
        <v>-353379.487255932</v>
      </c>
      <c r="L54" s="60" t="n">
        <f aca="false">L52+L53</f>
        <v>-175248.773034354</v>
      </c>
      <c r="M54" s="60" t="n">
        <f aca="false">M52+M53</f>
        <v>-285118.116892674</v>
      </c>
      <c r="N54" s="60" t="n">
        <f aca="false">N52+N53</f>
        <v>-389923.20983172</v>
      </c>
      <c r="O54" s="60" t="n">
        <f aca="false">O52+O53</f>
        <v>-386359.30002434</v>
      </c>
      <c r="P54" s="60" t="n">
        <f aca="false">P52+P53</f>
        <v>-317569.247091677</v>
      </c>
      <c r="Q54" s="60" t="n">
        <f aca="false">Q52+Q53</f>
        <v>-419467.782872655</v>
      </c>
      <c r="R54" s="60" t="n">
        <f aca="false">R52+R53</f>
        <v>-424656.684567895</v>
      </c>
      <c r="S54" s="60" t="n">
        <f aca="false">S52+S53</f>
        <v>-323035.237876854</v>
      </c>
      <c r="T54" s="60" t="n">
        <f aca="false">T52+T53</f>
        <v>-424060.270219029</v>
      </c>
      <c r="U54" s="60" t="n">
        <f aca="false">U52+U53</f>
        <v>-343723.989177943</v>
      </c>
      <c r="V54" s="60" t="n">
        <f aca="false">V52+V53</f>
        <v>-335634.865869001</v>
      </c>
      <c r="W54" s="60" t="n">
        <f aca="false">W52+W53</f>
        <v>-328139.891630226</v>
      </c>
      <c r="X54" s="60" t="n">
        <f aca="false">X52+X53</f>
        <v>-152569.117067804</v>
      </c>
      <c r="Y54" s="60" t="n">
        <f aca="false">Y52+Y53</f>
        <v>-358247.25733292</v>
      </c>
      <c r="Z54" s="60" t="n">
        <f aca="false">Z52+Z53</f>
        <v>-330454.626991664</v>
      </c>
      <c r="AA54" s="60" t="n">
        <f aca="false">AA52+AA53</f>
        <v>-353414.237520372</v>
      </c>
      <c r="AB54" s="60" t="n">
        <f aca="false">AB52+AB53</f>
        <v>-327784.674589952</v>
      </c>
    </row>
    <row r="55" customFormat="false" ht="15" hidden="false" customHeight="false" outlineLevel="0" collapsed="false">
      <c r="A55" s="28" t="s">
        <v>446</v>
      </c>
      <c r="B55" s="62"/>
      <c r="C55" s="66" t="n">
        <f aca="false">IF(C15=0,0,C54/C15)</f>
        <v>-0.663378513265031</v>
      </c>
      <c r="D55" s="66" t="n">
        <f aca="false">IF(D15=0,0,D54/D15)</f>
        <v>-0.474579615555182</v>
      </c>
      <c r="E55" s="75" t="n">
        <f aca="false">IF(E15=0,0,E54/E15)</f>
        <v>-0.744493532961081</v>
      </c>
      <c r="F55" s="75" t="n">
        <f aca="false">IF(F15=0,0,F54/F15)</f>
        <v>-0.880582906887988</v>
      </c>
      <c r="G55" s="75" t="n">
        <f aca="false">IF(G15=0,0,G54/G15)</f>
        <v>-0.82437272910745</v>
      </c>
      <c r="H55" s="75" t="n">
        <f aca="false">IF(H15=0,0,H54/H15)</f>
        <v>-0.918212705822603</v>
      </c>
      <c r="I55" s="75" t="n">
        <f aca="false">IF(I15=0,0,I54/I15)</f>
        <v>-0.674484045007869</v>
      </c>
      <c r="J55" s="75" t="n">
        <f aca="false">IF(J15=0,0,J54/J15)</f>
        <v>-0.823330128445918</v>
      </c>
      <c r="K55" s="75" t="n">
        <f aca="false">IF(K15=0,0,K54/K15)</f>
        <v>-0.623347338775919</v>
      </c>
      <c r="L55" s="75" t="n">
        <f aca="false">IF(L15=0,0,L54/L15)</f>
        <v>-0.305234827379126</v>
      </c>
      <c r="M55" s="75" t="n">
        <f aca="false">IF(M15=0,0,M54/M15)</f>
        <v>-0.430835450209349</v>
      </c>
      <c r="N55" s="75" t="n">
        <f aca="false">IF(N15=0,0,N54/N15)</f>
        <v>-0.691958549280464</v>
      </c>
      <c r="O55" s="75" t="n">
        <f aca="false">IF(O15=0,0,O54/O15)</f>
        <v>-0.659685080075443</v>
      </c>
      <c r="P55" s="75" t="n">
        <f aca="false">IF(P15=0,0,P54/P15)</f>
        <v>-0.531125801620299</v>
      </c>
      <c r="Q55" s="75" t="n">
        <f aca="false">IF(Q15=0,0,Q54/Q15)</f>
        <v>-0.654319689474078</v>
      </c>
      <c r="R55" s="75" t="n">
        <f aca="false">IF(R15=0,0,R54/R15)</f>
        <v>-0.67074142292897</v>
      </c>
      <c r="S55" s="75" t="n">
        <f aca="false">IF(S15=0,0,S54/S15)</f>
        <v>-0.426403024073099</v>
      </c>
      <c r="T55" s="75" t="n">
        <f aca="false">IF(T15=0,0,T54/T15)</f>
        <v>-0.643333722431753</v>
      </c>
      <c r="U55" s="75" t="n">
        <f aca="false">IF(U15=0,0,U54/U15)</f>
        <v>-0.504264637885379</v>
      </c>
      <c r="V55" s="75" t="n">
        <f aca="false">IF(V15=0,0,V54/V15)</f>
        <v>-0.41744811340738</v>
      </c>
      <c r="W55" s="75" t="n">
        <f aca="false">IF(W15=0,0,W54/W15)</f>
        <v>-0.473128580006442</v>
      </c>
      <c r="X55" s="75" t="n">
        <f aca="false">IF(X15=0,0,X54/X15)</f>
        <v>-0.214720083779136</v>
      </c>
      <c r="Y55" s="75" t="n">
        <f aca="false">IF(Y15=0,0,Y54/Y15)</f>
        <v>-0.466214274497225</v>
      </c>
      <c r="Z55" s="75" t="n">
        <f aca="false">IF(Z15=0,0,Z54/Z15)</f>
        <v>-0.415124986811939</v>
      </c>
      <c r="AA55" s="75" t="n">
        <f aca="false">IF(AA15=0,0,AA54/AA15)</f>
        <v>-0.451297782769938</v>
      </c>
      <c r="AB55" s="75" t="n">
        <f aca="false">IF(AB15=0,0,AB54/AB15)</f>
        <v>-0.433791817329673</v>
      </c>
    </row>
    <row r="56" customFormat="false" ht="15" hidden="false" customHeight="false" outlineLevel="0" collapsed="false">
      <c r="A56" s="22" t="s">
        <v>447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row>
    <row r="57" customFormat="false" ht="15" hidden="false" customHeight="false" outlineLevel="0" collapsed="false">
      <c r="A57" s="28" t="s">
        <v>351</v>
      </c>
      <c r="B57" s="62"/>
      <c r="C57" s="64" t="n">
        <f aca="false">SUM(E57:P57)</f>
        <v>1053571.21815162</v>
      </c>
      <c r="D57" s="64" t="n">
        <f aca="false">SUM(Q57:AB57)</f>
        <v>1531023.42874785</v>
      </c>
      <c r="E57" s="73" t="n">
        <f aca="false">E9</f>
        <v>75510.7959090909</v>
      </c>
      <c r="F57" s="73" t="n">
        <f aca="false">F9</f>
        <v>81962.1586363636</v>
      </c>
      <c r="G57" s="73" t="n">
        <f aca="false">G9</f>
        <v>82243.0836363636</v>
      </c>
      <c r="H57" s="73" t="n">
        <f aca="false">H9</f>
        <v>84029.0972727273</v>
      </c>
      <c r="I57" s="73" t="n">
        <f aca="false">I9</f>
        <v>82221.3490909091</v>
      </c>
      <c r="J57" s="73" t="n">
        <f aca="false">J9</f>
        <v>85687.5559090909</v>
      </c>
      <c r="K57" s="73" t="n">
        <f aca="false">K9</f>
        <v>88344.3359090909</v>
      </c>
      <c r="L57" s="73" t="n">
        <f aca="false">L9</f>
        <v>86409.2727272727</v>
      </c>
      <c r="M57" s="73" t="n">
        <f aca="false">M9</f>
        <v>91113.780431591</v>
      </c>
      <c r="N57" s="73" t="n">
        <f aca="false">N9</f>
        <v>95687.1100549517</v>
      </c>
      <c r="O57" s="73" t="n">
        <f aca="false">O9</f>
        <v>101214.182875414</v>
      </c>
      <c r="P57" s="73" t="n">
        <f aca="false">P9</f>
        <v>99148.4956987587</v>
      </c>
      <c r="Q57" s="73" t="n">
        <f aca="false">Q9</f>
        <v>111475.371006654</v>
      </c>
      <c r="R57" s="73" t="n">
        <f aca="false">R9</f>
        <v>111811.665017257</v>
      </c>
      <c r="S57" s="73" t="n">
        <f aca="false">S9</f>
        <v>117330.793714634</v>
      </c>
      <c r="T57" s="73" t="n">
        <f aca="false">T9</f>
        <v>119396.058284809</v>
      </c>
      <c r="U57" s="73" t="n">
        <f aca="false">U9</f>
        <v>126101.330458553</v>
      </c>
      <c r="V57" s="73" t="n">
        <f aca="false">V9</f>
        <v>122409.437122515</v>
      </c>
      <c r="W57" s="73" t="n">
        <f aca="false">W9</f>
        <v>127598.900460813</v>
      </c>
      <c r="X57" s="73" t="n">
        <f aca="false">X9</f>
        <v>126499.417589698</v>
      </c>
      <c r="Y57" s="73" t="n">
        <f aca="false">Y9</f>
        <v>133364.497013951</v>
      </c>
      <c r="Z57" s="73" t="n">
        <f aca="false">Z9</f>
        <v>140332.714763713</v>
      </c>
      <c r="AA57" s="73" t="n">
        <f aca="false">AA9</f>
        <v>145640.002187864</v>
      </c>
      <c r="AB57" s="73" t="n">
        <f aca="false">AB9</f>
        <v>149063.24112739</v>
      </c>
    </row>
    <row r="58" customFormat="false" ht="15" hidden="false" customHeight="false" outlineLevel="0" collapsed="false">
      <c r="A58" s="28" t="s">
        <v>352</v>
      </c>
      <c r="B58" s="62"/>
      <c r="C58" s="64" t="n">
        <f aca="false">SUM(E58:P58)</f>
        <v>2433455.80952251</v>
      </c>
      <c r="D58" s="64" t="n">
        <f aca="false">SUM(Q58:AB58)</f>
        <v>2877021.22658795</v>
      </c>
      <c r="E58" s="73" t="n">
        <f aca="false">E10+E11</f>
        <v>181624.59</v>
      </c>
      <c r="F58" s="73" t="n">
        <f aca="false">F10+F11</f>
        <v>183869.59</v>
      </c>
      <c r="G58" s="73" t="n">
        <f aca="false">G10+G11</f>
        <v>190998.21</v>
      </c>
      <c r="H58" s="73" t="n">
        <f aca="false">H10+H11</f>
        <v>193712.39</v>
      </c>
      <c r="I58" s="73" t="n">
        <f aca="false">I10+I11</f>
        <v>201515.91</v>
      </c>
      <c r="J58" s="73" t="n">
        <f aca="false">J10+J11</f>
        <v>208438.7</v>
      </c>
      <c r="K58" s="73" t="n">
        <f aca="false">K10+K11</f>
        <v>208095.44</v>
      </c>
      <c r="L58" s="73" t="n">
        <f aca="false">L10+L11</f>
        <v>208487.64</v>
      </c>
      <c r="M58" s="73" t="n">
        <f aca="false">M10+M11</f>
        <v>208362.400391317</v>
      </c>
      <c r="N58" s="73" t="n">
        <f aca="false">N10+N11</f>
        <v>212611.158638154</v>
      </c>
      <c r="O58" s="73" t="n">
        <f aca="false">O10+O11</f>
        <v>216381.179459176</v>
      </c>
      <c r="P58" s="73" t="n">
        <f aca="false">P10+P11</f>
        <v>219358.601033861</v>
      </c>
      <c r="Q58" s="73" t="n">
        <f aca="false">Q10+Q11</f>
        <v>223418.077627166</v>
      </c>
      <c r="R58" s="73" t="n">
        <f aca="false">R10+R11</f>
        <v>227000.67508792</v>
      </c>
      <c r="S58" s="73" t="n">
        <f aca="false">S10+S11</f>
        <v>230764.887229039</v>
      </c>
      <c r="T58" s="73" t="n">
        <f aca="false">T10+T11</f>
        <v>233812.780469032</v>
      </c>
      <c r="U58" s="73" t="n">
        <f aca="false">U10+U11</f>
        <v>236646.703972445</v>
      </c>
      <c r="V58" s="73" t="n">
        <f aca="false">V10+V11</f>
        <v>239597.490649964</v>
      </c>
      <c r="W58" s="73" t="n">
        <f aca="false">W10+W11</f>
        <v>241517.389934856</v>
      </c>
      <c r="X58" s="73" t="n">
        <f aca="false">X10+X11</f>
        <v>242097.191670149</v>
      </c>
      <c r="Y58" s="73" t="n">
        <f aca="false">Y10+Y11</f>
        <v>245634.312842516</v>
      </c>
      <c r="Z58" s="73" t="n">
        <f aca="false">Z10+Z11</f>
        <v>249275.875657279</v>
      </c>
      <c r="AA58" s="73" t="n">
        <f aca="false">AA10+AA11</f>
        <v>252442.744695001</v>
      </c>
      <c r="AB58" s="73" t="n">
        <f aca="false">AB10+AB11</f>
        <v>254813.096752584</v>
      </c>
    </row>
    <row r="59" customFormat="false" ht="15" hidden="false" customHeight="false" outlineLevel="0" collapsed="false">
      <c r="A59" s="28" t="s">
        <v>353</v>
      </c>
      <c r="B59" s="62"/>
      <c r="C59" s="64" t="n">
        <f aca="false">SUM(E59:P59)</f>
        <v>3128201.11722054</v>
      </c>
      <c r="D59" s="64" t="n">
        <f aca="false">SUM(Q59:AB59)</f>
        <v>4275827.34556164</v>
      </c>
      <c r="E59" s="73" t="n">
        <f aca="false">E12+E13+E14</f>
        <v>239324.28</v>
      </c>
      <c r="F59" s="73" t="n">
        <f aca="false">F12+F13+F14</f>
        <v>209055.46</v>
      </c>
      <c r="G59" s="73" t="n">
        <f aca="false">G12+G13+G14</f>
        <v>239938.62</v>
      </c>
      <c r="H59" s="73" t="n">
        <f aca="false">H12+H13+H14</f>
        <v>211228.52</v>
      </c>
      <c r="I59" s="73" t="n">
        <f aca="false">I12+I13+I14</f>
        <v>239841.75</v>
      </c>
      <c r="J59" s="73" t="n">
        <f aca="false">J12+J13+J14</f>
        <v>274100.03</v>
      </c>
      <c r="K59" s="73" t="n">
        <f aca="false">K12+K13+K14</f>
        <v>270466.45</v>
      </c>
      <c r="L59" s="73" t="n">
        <f aca="false">L12+L13+L14</f>
        <v>279247.18</v>
      </c>
      <c r="M59" s="73" t="n">
        <f aca="false">M12+M13+M14</f>
        <v>362303.430753</v>
      </c>
      <c r="N59" s="73" t="n">
        <f aca="false">N12+N13+N14</f>
        <v>255208.331864375</v>
      </c>
      <c r="O59" s="73" t="n">
        <f aca="false">O12+O13+O14</f>
        <v>268076.970864388</v>
      </c>
      <c r="P59" s="73" t="n">
        <f aca="false">P12+P13+P14</f>
        <v>279410.093738776</v>
      </c>
      <c r="Q59" s="73" t="n">
        <f aca="false">Q12+Q13+Q14</f>
        <v>306181.227278516</v>
      </c>
      <c r="R59" s="73" t="n">
        <f aca="false">R12+R13+R14</f>
        <v>294303.000697124</v>
      </c>
      <c r="S59" s="73" t="n">
        <f aca="false">S12+S13+S14</f>
        <v>409486.277062036</v>
      </c>
      <c r="T59" s="73" t="n">
        <f aca="false">T12+T13+T14</f>
        <v>305951.804366362</v>
      </c>
      <c r="U59" s="73" t="n">
        <f aca="false">U12+U13+U14</f>
        <v>318886.098430946</v>
      </c>
      <c r="V59" s="73" t="n">
        <f aca="false">V12+V13+V14</f>
        <v>442008.841108146</v>
      </c>
      <c r="W59" s="73" t="n">
        <f aca="false">W12+W13+W14</f>
        <v>324437.017302965</v>
      </c>
      <c r="X59" s="73" t="n">
        <f aca="false">X12+X13+X14</f>
        <v>341952.280171191</v>
      </c>
      <c r="Y59" s="73" t="n">
        <f aca="false">Y12+Y13+Y14</f>
        <v>389418.79751787</v>
      </c>
      <c r="Z59" s="73" t="n">
        <f aca="false">Z12+Z13+Z14</f>
        <v>406427.874474742</v>
      </c>
      <c r="AA59" s="73" t="n">
        <f aca="false">AA12+AA13+AA14</f>
        <v>385023.776156571</v>
      </c>
      <c r="AB59" s="73" t="n">
        <f aca="false">AB12+AB13+AB14</f>
        <v>351750.350995172</v>
      </c>
    </row>
    <row r="60" customFormat="false" ht="15" hidden="false" customHeight="false" outlineLevel="0" collapsed="false">
      <c r="A60" s="28" t="s">
        <v>448</v>
      </c>
      <c r="B60" s="62"/>
      <c r="C60" s="64" t="n">
        <f aca="false">SUM(E60:P60)</f>
        <v>-1660045.07079136</v>
      </c>
      <c r="D60" s="64" t="n">
        <f aca="false">SUM(Q60:AB60)</f>
        <v>-2051677.32308085</v>
      </c>
      <c r="E60" s="73" t="n">
        <f aca="false">E17+E18+E19+E20+E21</f>
        <v>-129074.386571526</v>
      </c>
      <c r="F60" s="73" t="n">
        <f aca="false">F17+F18+F19+F20+F21</f>
        <v>-129580.847171615</v>
      </c>
      <c r="G60" s="73" t="n">
        <f aca="false">G17+G18+G19+G20+G21</f>
        <v>-130283.692351618</v>
      </c>
      <c r="H60" s="73" t="n">
        <f aca="false">H17+H18+H19+H20+H21</f>
        <v>-129420.668124733</v>
      </c>
      <c r="I60" s="73" t="n">
        <f aca="false">I17+I18+I19+I20+I21</f>
        <v>-137200.541969502</v>
      </c>
      <c r="J60" s="73" t="n">
        <f aca="false">J17+J18+J19+J20+J21</f>
        <v>-140530.311789529</v>
      </c>
      <c r="K60" s="73" t="n">
        <f aca="false">K17+K18+K19+K20+K21</f>
        <v>-152468.401852501</v>
      </c>
      <c r="L60" s="73" t="n">
        <f aca="false">L17+L18+L19+L20+L21</f>
        <v>-151987.614657121</v>
      </c>
      <c r="M60" s="73" t="n">
        <f aca="false">M17+M18+M19+M20+M21</f>
        <v>-153429.414040897</v>
      </c>
      <c r="N60" s="73" t="n">
        <f aca="false">N17+N18+N19+N20+N21</f>
        <v>-131305.387520032</v>
      </c>
      <c r="O60" s="73" t="n">
        <f aca="false">O17+O18+O19+O20+O21</f>
        <v>-135600.759825012</v>
      </c>
      <c r="P60" s="73" t="n">
        <f aca="false">P17+P18+P19+P20+P21</f>
        <v>-139163.044917275</v>
      </c>
      <c r="Q60" s="73" t="n">
        <f aca="false">Q17+Q18+Q19+Q20+Q21</f>
        <v>-155907.996351943</v>
      </c>
      <c r="R60" s="73" t="n">
        <f aca="false">R17+R18+R19+R20+R21</f>
        <v>-159312.519227718</v>
      </c>
      <c r="S60" s="73" t="n">
        <f aca="false">S17+S18+S19+S20+S21</f>
        <v>-164219.262873738</v>
      </c>
      <c r="T60" s="73" t="n">
        <f aca="false">T17+T18+T19+T20+T21</f>
        <v>-164758.225067035</v>
      </c>
      <c r="U60" s="73" t="n">
        <f aca="false">U17+U18+U19+U20+U21</f>
        <v>-169377.600128624</v>
      </c>
      <c r="V60" s="73" t="n">
        <f aca="false">V17+V18+V19+V20+V21</f>
        <v>-170888.019440071</v>
      </c>
      <c r="W60" s="73" t="n">
        <f aca="false">W17+W18+W19+W20+W21</f>
        <v>-171937.278094213</v>
      </c>
      <c r="X60" s="73" t="n">
        <f aca="false">X17+X18+X19+X20+X21</f>
        <v>-173490.705471143</v>
      </c>
      <c r="Y60" s="73" t="n">
        <f aca="false">Y17+Y18+Y19+Y20+Y21</f>
        <v>-176436.069061505</v>
      </c>
      <c r="Z60" s="73" t="n">
        <f aca="false">Z17+Z18+Z19+Z20+Z21</f>
        <v>-179015.188440882</v>
      </c>
      <c r="AA60" s="73" t="n">
        <f aca="false">AA17+AA18+AA19+AA20+AA21</f>
        <v>-181643.065383257</v>
      </c>
      <c r="AB60" s="73" t="n">
        <f aca="false">AB17+AB18+AB19+AB20+AB21</f>
        <v>-184691.393540726</v>
      </c>
    </row>
    <row r="61" customFormat="false" ht="15" hidden="false" customHeight="false" outlineLevel="0" collapsed="false">
      <c r="A61" s="28" t="s">
        <v>449</v>
      </c>
      <c r="B61" s="62"/>
      <c r="C61" s="64" t="n">
        <f aca="false">SUM(E61:P61)</f>
        <v>-5084467.01670416</v>
      </c>
      <c r="D61" s="64" t="n">
        <f aca="false">SUM(Q61:AB61)</f>
        <v>-5817166.23761462</v>
      </c>
      <c r="E61" s="73" t="n">
        <f aca="false">E29+E30</f>
        <v>-429738.871893356</v>
      </c>
      <c r="F61" s="73" t="n">
        <f aca="false">F29+F30</f>
        <v>-416675.714355167</v>
      </c>
      <c r="G61" s="73" t="n">
        <f aca="false">G29+G30</f>
        <v>-443990.535139477</v>
      </c>
      <c r="H61" s="73" t="n">
        <f aca="false">H29+H30</f>
        <v>-434937.83207346</v>
      </c>
      <c r="I61" s="73" t="n">
        <f aca="false">I29+I30</f>
        <v>-421188.591663788</v>
      </c>
      <c r="J61" s="73" t="n">
        <f aca="false">J29+J30</f>
        <v>-447166.500578944</v>
      </c>
      <c r="K61" s="73" t="n">
        <f aca="false">K29+K30</f>
        <v>-402078.685553815</v>
      </c>
      <c r="L61" s="73" t="n">
        <f aca="false">L29+L30</f>
        <v>-321090.154808912</v>
      </c>
      <c r="M61" s="73" t="n">
        <f aca="false">M29+M30</f>
        <v>-444319.136977199</v>
      </c>
      <c r="N61" s="73" t="n">
        <f aca="false">N29+N30</f>
        <v>-441681.312539677</v>
      </c>
      <c r="O61" s="73" t="n">
        <f aca="false">O29+O30</f>
        <v>-450445.895852981</v>
      </c>
      <c r="P61" s="73" t="n">
        <f aca="false">P29+P30</f>
        <v>-431153.785267386</v>
      </c>
      <c r="Q61" s="73" t="n">
        <f aca="false">Q29+Q30</f>
        <v>-497927.990979448</v>
      </c>
      <c r="R61" s="73" t="n">
        <f aca="false">R29+R30</f>
        <v>-468613.375583518</v>
      </c>
      <c r="S61" s="73" t="n">
        <f aca="false">S29+S30</f>
        <v>-501998.218079851</v>
      </c>
      <c r="T61" s="73" t="n">
        <f aca="false">T29+T30</f>
        <v>-478037.99210787</v>
      </c>
      <c r="U61" s="73" t="n">
        <f aca="false">U29+U30</f>
        <v>-474513.190208679</v>
      </c>
      <c r="V61" s="73" t="n">
        <f aca="false">V29+V30</f>
        <v>-504373.517410677</v>
      </c>
      <c r="W61" s="73" t="n">
        <f aca="false">W29+W30</f>
        <v>-444120.843493224</v>
      </c>
      <c r="X61" s="73" t="n">
        <f aca="false">X29+X30</f>
        <v>-378637.848074048</v>
      </c>
      <c r="Y61" s="73" t="n">
        <f aca="false">Y29+Y30</f>
        <v>-525573.985700065</v>
      </c>
      <c r="Z61" s="73" t="n">
        <f aca="false">Z29+Z30</f>
        <v>-515102.852355721</v>
      </c>
      <c r="AA61" s="73" t="n">
        <f aca="false">AA29+AA30</f>
        <v>-525192.871116793</v>
      </c>
      <c r="AB61" s="73" t="n">
        <f aca="false">AB29+AB30</f>
        <v>-503073.552504724</v>
      </c>
    </row>
    <row r="62" customFormat="false" ht="15" hidden="false" customHeight="false" outlineLevel="0" collapsed="false">
      <c r="A62" s="28" t="s">
        <v>450</v>
      </c>
      <c r="B62" s="62"/>
      <c r="C62" s="64" t="n">
        <f aca="false">SUM(E62:P62)</f>
        <v>-2415378.07141565</v>
      </c>
      <c r="D62" s="64" t="n">
        <f aca="false">SUM(Q62:AB62)</f>
        <v>-2803856.93547338</v>
      </c>
      <c r="E62" s="73" t="n">
        <f aca="false">E31+E32+E33</f>
        <v>-171756.827792946</v>
      </c>
      <c r="F62" s="73" t="n">
        <f aca="false">F31+F32+F33</f>
        <v>-214816.309879836</v>
      </c>
      <c r="G62" s="73" t="n">
        <f aca="false">G31+G32+G33</f>
        <v>-181658.23685511</v>
      </c>
      <c r="H62" s="73" t="n">
        <f aca="false">H31+H32+H33</f>
        <v>-232350.563152357</v>
      </c>
      <c r="I62" s="73" t="n">
        <f aca="false">I31+I32+I33</f>
        <v>-175888.937713014</v>
      </c>
      <c r="J62" s="73" t="n">
        <f aca="false">J31+J32+J33</f>
        <v>-252505.734259453</v>
      </c>
      <c r="K62" s="73" t="n">
        <f aca="false">K31+K32+K33</f>
        <v>-214581.580618854</v>
      </c>
      <c r="L62" s="73" t="n">
        <f aca="false">L31+L32+L33</f>
        <v>-149201.615941978</v>
      </c>
      <c r="M62" s="73" t="n">
        <f aca="false">M31+M32+M33</f>
        <v>-197515.654350545</v>
      </c>
      <c r="N62" s="73" t="n">
        <f aca="false">N31+N32+N33</f>
        <v>-215974.45042099</v>
      </c>
      <c r="O62" s="73" t="n">
        <f aca="false">O31+O32+O33</f>
        <v>-218043.697286597</v>
      </c>
      <c r="P62" s="73" t="n">
        <f aca="false">P31+P32+P33</f>
        <v>-191084.463143976</v>
      </c>
      <c r="Q62" s="73" t="n">
        <f aca="false">Q31+Q32+Q33</f>
        <v>-201635.164122176</v>
      </c>
      <c r="R62" s="73" t="n">
        <f aca="false">R31+R32+R33</f>
        <v>-262334.914891541</v>
      </c>
      <c r="S62" s="73" t="n">
        <f aca="false">S31+S32+S33</f>
        <v>-221125.261550908</v>
      </c>
      <c r="T62" s="73" t="n">
        <f aca="false">T31+T32+T33</f>
        <v>-259421.647631682</v>
      </c>
      <c r="U62" s="73" t="n">
        <f aca="false">U31+U32+U33</f>
        <v>-215419.336326732</v>
      </c>
      <c r="V62" s="73" t="n">
        <f aca="false">V31+V32+V33</f>
        <v>-283261.031963845</v>
      </c>
      <c r="W62" s="73" t="n">
        <f aca="false">W31+W32+W33</f>
        <v>-239472.47030657</v>
      </c>
      <c r="X62" s="73" t="n">
        <f aca="false">X31+X32+X33</f>
        <v>-175430.240226976</v>
      </c>
      <c r="Y62" s="73" t="n">
        <f aca="false">Y31+Y32+Y33</f>
        <v>-232054.48733659</v>
      </c>
      <c r="Z62" s="73" t="n">
        <f aca="false">Z31+Z32+Z33</f>
        <v>-252027.774436456</v>
      </c>
      <c r="AA62" s="73" t="n">
        <f aca="false">AA31+AA32+AA33</f>
        <v>-244221.071292388</v>
      </c>
      <c r="AB62" s="73" t="n">
        <f aca="false">AB31+AB32+AB33</f>
        <v>-217453.535387517</v>
      </c>
    </row>
    <row r="63" customFormat="false" ht="15" hidden="false" customHeight="false" outlineLevel="0" collapsed="false">
      <c r="A63" s="28" t="s">
        <v>451</v>
      </c>
      <c r="B63" s="62"/>
      <c r="C63" s="64" t="n">
        <f aca="false">SUM(E63:P63)</f>
        <v>-1993275.81537311</v>
      </c>
      <c r="D63" s="64" t="n">
        <f aca="false">SUM(Q63:AB63)</f>
        <v>-2181067.17426767</v>
      </c>
      <c r="E63" s="73" t="n">
        <f aca="false">E34+E35+E36+E37+E38+E39+E40+E41</f>
        <v>-162355.324502674</v>
      </c>
      <c r="F63" s="73" t="n">
        <f aca="false">F34+F35+F36+F37+F38+F39+F40+F41</f>
        <v>-166336.535617001</v>
      </c>
      <c r="G63" s="73" t="n">
        <f aca="false">G34+G35+G36+G37+G38+G39+G40+G41</f>
        <v>-201529.46054811</v>
      </c>
      <c r="H63" s="73" t="n">
        <f aca="false">H34+H35+H36+H37+H38+H39+H40+H41</f>
        <v>-172862.359079079</v>
      </c>
      <c r="I63" s="73" t="n">
        <f aca="false">I34+I35+I36+I37+I38+I39+I40+I41</f>
        <v>-163479.098476822</v>
      </c>
      <c r="J63" s="73" t="n">
        <f aca="false">J34+J35+J36+J37+J38+J39+J40+J41</f>
        <v>-163863.074967048</v>
      </c>
      <c r="K63" s="73" t="n">
        <f aca="false">K34+K35+K36+K37+K38+K39+K40+K41</f>
        <v>-153025.147204192</v>
      </c>
      <c r="L63" s="73" t="n">
        <f aca="false">L34+L35+L36+L37+L38+L39+L40+L41</f>
        <v>-138433.663437853</v>
      </c>
      <c r="M63" s="73" t="n">
        <f aca="false">M34+M35+M36+M37+M38+M39+M40+M41</f>
        <v>-160456.848503942</v>
      </c>
      <c r="N63" s="73" t="n">
        <f aca="false">N34+N35+N36+N37+N38+N39+N40+N41</f>
        <v>-173618.889386284</v>
      </c>
      <c r="O63" s="73" t="n">
        <f aca="false">O34+O35+O36+O37+O38+O39+O40+O41</f>
        <v>-174046.727293926</v>
      </c>
      <c r="P63" s="73" t="n">
        <f aca="false">P34+P35+P36+P37+P38+P39+P40+P41</f>
        <v>-163268.686356177</v>
      </c>
      <c r="Q63" s="73" t="n">
        <f aca="false">Q34+Q35+Q36+Q37+Q38+Q39+Q40+Q41</f>
        <v>-209617.467700868</v>
      </c>
      <c r="R63" s="73" t="n">
        <f aca="false">R34+R35+R36+R37+R38+R39+R40+R41</f>
        <v>-175867.868873326</v>
      </c>
      <c r="S63" s="73" t="n">
        <f aca="false">S34+S35+S36+S37+S38+S39+S40+S41</f>
        <v>-199161.337386423</v>
      </c>
      <c r="T63" s="73" t="n">
        <f aca="false">T34+T35+T36+T37+T38+T39+T40+T41</f>
        <v>-184279.243851789</v>
      </c>
      <c r="U63" s="73" t="n">
        <f aca="false">U34+U35+U36+U37+U38+U39+U40+U41</f>
        <v>-168849.425954877</v>
      </c>
      <c r="V63" s="73" t="n">
        <f aca="false">V34+V35+V36+V37+V38+V39+V40+V41</f>
        <v>-179923.009515085</v>
      </c>
      <c r="W63" s="73" t="n">
        <f aca="false">W34+W35+W36+W37+W38+W39+W40+W41</f>
        <v>-176885.674943395</v>
      </c>
      <c r="X63" s="73" t="n">
        <f aca="false">X34+X35+X36+X37+X38+X39+X40+X41</f>
        <v>-158749.145722456</v>
      </c>
      <c r="Y63" s="73" t="n">
        <f aca="false">Y34+Y35+Y36+Y37+Y38+Y39+Y40+Y41</f>
        <v>-188855.679124074</v>
      </c>
      <c r="Z63" s="73" t="n">
        <f aca="false">Z34+Z35+Z36+Z37+Z38+Z39+Z40+Z41</f>
        <v>-179607.033426389</v>
      </c>
      <c r="AA63" s="73" t="n">
        <f aca="false">AA34+AA35+AA36+AA37+AA38+AA39+AA40+AA41</f>
        <v>-181390.566438674</v>
      </c>
      <c r="AB63" s="73" t="n">
        <f aca="false">AB34+AB35+AB36+AB37+AB38+AB39+AB40+AB41</f>
        <v>-177880.721330316</v>
      </c>
    </row>
    <row r="64" customFormat="false" ht="15" hidden="false" customHeight="false" outlineLevel="0" collapsed="false">
      <c r="A64" s="28" t="s">
        <v>452</v>
      </c>
      <c r="B64" s="62"/>
      <c r="C64" s="66" t="n">
        <f aca="false">IF(C15=0,0,-C61/C15)</f>
        <v>0.768600402788545</v>
      </c>
      <c r="D64" s="66" t="n">
        <f aca="false">IF(D15=0,0,-D61/D15)</f>
        <v>0.669881619283821</v>
      </c>
      <c r="E64" s="75" t="n">
        <f aca="false">IF(E15=0,0,-E61/E15)</f>
        <v>0.865606818444034</v>
      </c>
      <c r="F64" s="75" t="n">
        <f aca="false">IF(F15=0,0,-F61/F15)</f>
        <v>0.877420378518195</v>
      </c>
      <c r="G64" s="75" t="n">
        <f aca="false">IF(G15=0,0,-G61/G15)</f>
        <v>0.865175201409161</v>
      </c>
      <c r="H64" s="75" t="n">
        <f aca="false">IF(H15=0,0,-H61/H15)</f>
        <v>0.889497976571944</v>
      </c>
      <c r="I64" s="75" t="n">
        <f aca="false">IF(I15=0,0,-I61/I15)</f>
        <v>0.804441324710665</v>
      </c>
      <c r="J64" s="75" t="n">
        <f aca="false">IF(J15=0,0,-J61/J15)</f>
        <v>0.786951451680089</v>
      </c>
      <c r="K64" s="75" t="n">
        <f aca="false">IF(K15=0,0,-K61/K15)</f>
        <v>0.709250784658507</v>
      </c>
      <c r="L64" s="75" t="n">
        <f aca="false">IF(L15=0,0,-L61/L15)</f>
        <v>0.559250123577314</v>
      </c>
      <c r="M64" s="75" t="n">
        <f aca="false">IF(M15=0,0,-M61/M15)</f>
        <v>0.671400462034685</v>
      </c>
      <c r="N64" s="75" t="n">
        <f aca="false">IF(N15=0,0,-N61/N15)</f>
        <v>0.783808587339915</v>
      </c>
      <c r="O64" s="75" t="n">
        <f aca="false">IF(O15=0,0,-O61/O15)</f>
        <v>0.76910905692372</v>
      </c>
      <c r="P64" s="75" t="n">
        <f aca="false">IF(P15=0,0,-P61/P15)</f>
        <v>0.721092807061571</v>
      </c>
      <c r="Q64" s="75" t="n">
        <f aca="false">IF(Q15=0,0,-Q61/Q15)</f>
        <v>0.776708252078166</v>
      </c>
      <c r="R64" s="75" t="n">
        <f aca="false">IF(R15=0,0,-R61/R15)</f>
        <v>0.740170621974945</v>
      </c>
      <c r="S64" s="75" t="n">
        <f aca="false">IF(S15=0,0,-S61/S15)</f>
        <v>0.66263222450721</v>
      </c>
      <c r="T64" s="75" t="n">
        <f aca="false">IF(T15=0,0,-T61/T15)</f>
        <v>0.725222291557076</v>
      </c>
      <c r="U64" s="75" t="n">
        <f aca="false">IF(U15=0,0,-U61/U15)</f>
        <v>0.696140594099013</v>
      </c>
      <c r="V64" s="75" t="n">
        <f aca="false">IF(V15=0,0,-V61/V15)</f>
        <v>0.627317941926539</v>
      </c>
      <c r="W64" s="75" t="n">
        <f aca="false">IF(W15=0,0,-W61/W15)</f>
        <v>0.640355742757419</v>
      </c>
      <c r="X64" s="75" t="n">
        <f aca="false">IF(X15=0,0,-X61/X15)</f>
        <v>0.532880782316382</v>
      </c>
      <c r="Y64" s="75" t="n">
        <f aca="false">IF(Y15=0,0,-Y61/Y15)</f>
        <v>0.683969212386917</v>
      </c>
      <c r="Z64" s="75" t="n">
        <f aca="false">IF(Z15=0,0,-Z61/Z15)</f>
        <v>0.64708449307431</v>
      </c>
      <c r="AA64" s="75" t="n">
        <f aca="false">IF(AA15=0,0,-AA61/AA15)</f>
        <v>0.670653168713735</v>
      </c>
      <c r="AB64" s="75" t="n">
        <f aca="false">IF(AB15=0,0,-AB61/AB15)</f>
        <v>0.665769962749223</v>
      </c>
    </row>
    <row r="65" customFormat="false" ht="15" hidden="false" customHeight="false" outlineLevel="0" collapsed="false">
      <c r="A65" s="28" t="s">
        <v>453</v>
      </c>
      <c r="B65" s="62"/>
      <c r="C65" s="66" t="n">
        <f aca="false">IF(C15=0,0,-C62/C15)</f>
        <v>0.365123925964629</v>
      </c>
      <c r="D65" s="66" t="n">
        <f aca="false">IF(D15=0,0,-D62/D15)</f>
        <v>0.322880960841387</v>
      </c>
      <c r="E65" s="75" t="n">
        <f aca="false">IF(E15=0,0,-E62/E15)</f>
        <v>0.3459633069656</v>
      </c>
      <c r="F65" s="75" t="n">
        <f aca="false">IF(F15=0,0,-F62/F15)</f>
        <v>0.452352276441978</v>
      </c>
      <c r="G65" s="75" t="n">
        <f aca="false">IF(G15=0,0,-G62/G15)</f>
        <v>0.353985477661996</v>
      </c>
      <c r="H65" s="75" t="n">
        <f aca="false">IF(H15=0,0,-H62/H15)</f>
        <v>0.475183671179163</v>
      </c>
      <c r="I65" s="75" t="n">
        <f aca="false">IF(I15=0,0,-I62/I15)</f>
        <v>0.335935808462624</v>
      </c>
      <c r="J65" s="75" t="n">
        <f aca="false">IF(J15=0,0,-J62/J15)</f>
        <v>0.444375314062558</v>
      </c>
      <c r="K65" s="75" t="n">
        <f aca="false">IF(K15=0,0,-K62/K15)</f>
        <v>0.37851336043232</v>
      </c>
      <c r="L65" s="75" t="n">
        <f aca="false">IF(L15=0,0,-L62/L15)</f>
        <v>0.259867893499081</v>
      </c>
      <c r="M65" s="75" t="n">
        <f aca="false">IF(M15=0,0,-M62/M15)</f>
        <v>0.298461377315927</v>
      </c>
      <c r="N65" s="75" t="n">
        <f aca="false">IF(N15=0,0,-N62/N15)</f>
        <v>0.383268714523175</v>
      </c>
      <c r="O65" s="75" t="n">
        <f aca="false">IF(O15=0,0,-O62/O15)</f>
        <v>0.372296393267595</v>
      </c>
      <c r="P65" s="75" t="n">
        <f aca="false">IF(P15=0,0,-P62/P15)</f>
        <v>0.319583491140847</v>
      </c>
      <c r="Q65" s="75" t="n">
        <f aca="false">IF(Q15=0,0,-Q62/Q15)</f>
        <v>0.314526796484703</v>
      </c>
      <c r="R65" s="75" t="n">
        <f aca="false">IF(R15=0,0,-R62/R15)</f>
        <v>0.414355644200791</v>
      </c>
      <c r="S65" s="75" t="n">
        <f aca="false">IF(S15=0,0,-S62/S15)</f>
        <v>0.291882956311429</v>
      </c>
      <c r="T65" s="75" t="n">
        <f aca="false">IF(T15=0,0,-T62/T15)</f>
        <v>0.393563618124535</v>
      </c>
      <c r="U65" s="75" t="n">
        <f aca="false">IF(U15=0,0,-U62/U15)</f>
        <v>0.316033669590842</v>
      </c>
      <c r="V65" s="75" t="n">
        <f aca="false">IF(V15=0,0,-V62/V15)</f>
        <v>0.352307806547389</v>
      </c>
      <c r="W65" s="75" t="n">
        <f aca="false">IF(W15=0,0,-W62/W15)</f>
        <v>0.345283437694491</v>
      </c>
      <c r="X65" s="75" t="n">
        <f aca="false">IF(X15=0,0,-X62/X15)</f>
        <v>0.246893975680476</v>
      </c>
      <c r="Y65" s="75" t="n">
        <f aca="false">IF(Y15=0,0,-Y62/Y15)</f>
        <v>0.301990070385704</v>
      </c>
      <c r="Z65" s="75" t="n">
        <f aca="false">IF(Z15=0,0,-Z62/Z15)</f>
        <v>0.316603303429658</v>
      </c>
      <c r="AA65" s="75" t="n">
        <f aca="false">IF(AA15=0,0,-AA62/AA15)</f>
        <v>0.31186187843833</v>
      </c>
      <c r="AB65" s="75" t="n">
        <f aca="false">IF(AB15=0,0,-AB62/AB15)</f>
        <v>0.287779056231095</v>
      </c>
    </row>
    <row r="66" customFormat="false" ht="15" hidden="false" customHeight="false" outlineLevel="0" collapsed="false">
      <c r="A66" s="28" t="s">
        <v>454</v>
      </c>
      <c r="B66" s="62"/>
      <c r="C66" s="66" t="n">
        <f aca="false">IF(C15=0,0,-C63/C15)</f>
        <v>0.30131626176966</v>
      </c>
      <c r="D66" s="66" t="n">
        <f aca="false">IF(D15=0,0,-D63/D15)</f>
        <v>0.251162980527841</v>
      </c>
      <c r="E66" s="75" t="n">
        <f aca="false">IF(E15=0,0,-E63/E15)</f>
        <v>0.327026213107116</v>
      </c>
      <c r="F66" s="75" t="n">
        <f aca="false">IF(F15=0,0,-F63/F15)</f>
        <v>0.35026535268161</v>
      </c>
      <c r="G66" s="75" t="n">
        <f aca="false">IF(G15=0,0,-G63/G15)</f>
        <v>0.392707226438548</v>
      </c>
      <c r="H66" s="75" t="n">
        <f aca="false">IF(H15=0,0,-H63/H15)</f>
        <v>0.35352344010471</v>
      </c>
      <c r="I66" s="75" t="n">
        <f aca="false">IF(I15=0,0,-I63/I15)</f>
        <v>0.312233866595743</v>
      </c>
      <c r="J66" s="75" t="n">
        <f aca="false">IF(J15=0,0,-J63/J15)</f>
        <v>0.288376442678795</v>
      </c>
      <c r="K66" s="75" t="n">
        <f aca="false">IF(K15=0,0,-K63/K15)</f>
        <v>0.269930263967027</v>
      </c>
      <c r="L66" s="75" t="n">
        <f aca="false">IF(L15=0,0,-L63/L15)</f>
        <v>0.241113102427427</v>
      </c>
      <c r="M66" s="75" t="n">
        <f aca="false">IF(M15=0,0,-M63/M15)</f>
        <v>0.242462665360517</v>
      </c>
      <c r="N66" s="75" t="n">
        <f aca="false">IF(N15=0,0,-N63/N15)</f>
        <v>0.308104446717255</v>
      </c>
      <c r="O66" s="75" t="n">
        <f aca="false">IF(O15=0,0,-O63/O15)</f>
        <v>0.297174234513131</v>
      </c>
      <c r="P66" s="75" t="n">
        <f aca="false">IF(P15=0,0,-P63/P15)</f>
        <v>0.27306237211119</v>
      </c>
      <c r="Q66" s="75" t="n">
        <f aca="false">IF(Q15=0,0,-Q63/Q15)</f>
        <v>0.326978237601655</v>
      </c>
      <c r="R66" s="75" t="n">
        <f aca="false">IF(R15=0,0,-R63/R15)</f>
        <v>0.277781720863786</v>
      </c>
      <c r="S66" s="75" t="n">
        <f aca="false">IF(S15=0,0,-S63/S15)</f>
        <v>0.262890813702459</v>
      </c>
      <c r="T66" s="75" t="n">
        <f aca="false">IF(T15=0,0,-T63/T15)</f>
        <v>0.279566515044776</v>
      </c>
      <c r="U66" s="75" t="n">
        <f aca="false">IF(U15=0,0,-U63/U15)</f>
        <v>0.247712691918665</v>
      </c>
      <c r="V66" s="75" t="n">
        <f aca="false">IF(V15=0,0,-V63/V15)</f>
        <v>0.223780448691423</v>
      </c>
      <c r="W66" s="75" t="n">
        <f aca="false">IF(W15=0,0,-W63/W15)</f>
        <v>0.255042652064253</v>
      </c>
      <c r="X66" s="75" t="n">
        <f aca="false">IF(X15=0,0,-X63/X15)</f>
        <v>0.22341762556208</v>
      </c>
      <c r="Y66" s="75" t="n">
        <f aca="false">IF(Y15=0,0,-Y63/Y15)</f>
        <v>0.245772191203932</v>
      </c>
      <c r="Z66" s="75" t="n">
        <f aca="false">IF(Z15=0,0,-Z63/Z15)</f>
        <v>0.225626640671434</v>
      </c>
      <c r="AA66" s="75" t="n">
        <f aca="false">IF(AA15=0,0,-AA63/AA15)</f>
        <v>0.231629492415223</v>
      </c>
      <c r="AB66" s="75" t="n">
        <f aca="false">IF(AB15=0,0,-AB63/AB15)</f>
        <v>0.235408203480896</v>
      </c>
    </row>
    <row r="67" customFormat="false" ht="15" hidden="false" customHeight="false" outlineLevel="0" collapsed="false">
      <c r="A67" s="28" t="s">
        <v>367</v>
      </c>
      <c r="B67" s="62"/>
      <c r="C67" s="66" t="n">
        <f aca="false">IF(C15=0,0,-C60/C15)</f>
        <v>0.250942981017594</v>
      </c>
      <c r="D67" s="66" t="n">
        <f aca="false">IF(D15=0,0,-D60/D15)</f>
        <v>0.236262962290188</v>
      </c>
      <c r="E67" s="75" t="n">
        <f aca="false">IF(E15=0,0,-E60/E15)</f>
        <v>0.2599896737536</v>
      </c>
      <c r="F67" s="75" t="n">
        <f aca="false">IF(F15=0,0,-F60/F15)</f>
        <v>0.272866577189361</v>
      </c>
      <c r="G67" s="75" t="n">
        <f aca="false">IF(G15=0,0,-G60/G15)</f>
        <v>0.253875276271893</v>
      </c>
      <c r="H67" s="75" t="n">
        <f aca="false">IF(H15=0,0,-H60/H15)</f>
        <v>0.264680177106543</v>
      </c>
      <c r="I67" s="75" t="n">
        <f aca="false">IF(I15=0,0,-I60/I15)</f>
        <v>0.262043625865987</v>
      </c>
      <c r="J67" s="75" t="n">
        <f aca="false">IF(J15=0,0,-J60/J15)</f>
        <v>0.24731399316506</v>
      </c>
      <c r="K67" s="75" t="n">
        <f aca="false">IF(K15=0,0,-K60/K15)</f>
        <v>0.268948187344392</v>
      </c>
      <c r="L67" s="75" t="n">
        <f aca="false">IF(L15=0,0,-L60/L15)</f>
        <v>0.264720331676942</v>
      </c>
      <c r="M67" s="75" t="n">
        <f aca="false">IF(M15=0,0,-M60/M15)</f>
        <v>0.23184367024474</v>
      </c>
      <c r="N67" s="75" t="n">
        <f aca="false">IF(N15=0,0,-N60/N15)</f>
        <v>0.233014817200244</v>
      </c>
      <c r="O67" s="75" t="n">
        <f aca="false">IF(O15=0,0,-O60/O15)</f>
        <v>0.231530076014267</v>
      </c>
      <c r="P67" s="75" t="n">
        <f aca="false">IF(P15=0,0,-P60/P15)</f>
        <v>0.232746352061828</v>
      </c>
      <c r="Q67" s="75" t="n">
        <f aca="false">IF(Q15=0,0,-Q60/Q15)</f>
        <v>0.243197871028152</v>
      </c>
      <c r="R67" s="75" t="n">
        <f aca="false">IF(R15=0,0,-R60/R15)</f>
        <v>0.251632694645865</v>
      </c>
      <c r="S67" s="75" t="n">
        <f aca="false">IF(S15=0,0,-S60/S15)</f>
        <v>0.216767652843839</v>
      </c>
      <c r="T67" s="75" t="n">
        <f aca="false">IF(T15=0,0,-T60/T15)</f>
        <v>0.249951550940807</v>
      </c>
      <c r="U67" s="75" t="n">
        <f aca="false">IF(U15=0,0,-U60/U15)</f>
        <v>0.248487556539264</v>
      </c>
      <c r="V67" s="75" t="n">
        <f aca="false">IF(V15=0,0,-V60/V15)</f>
        <v>0.21254311924502</v>
      </c>
      <c r="W67" s="75" t="n">
        <f aca="false">IF(W15=0,0,-W60/W15)</f>
        <v>0.247907804902177</v>
      </c>
      <c r="X67" s="75" t="n">
        <f aca="false">IF(X15=0,0,-X60/X15)</f>
        <v>0.244164346819349</v>
      </c>
      <c r="Y67" s="75" t="n">
        <f aca="false">IF(Y15=0,0,-Y60/Y15)</f>
        <v>0.22960961249233</v>
      </c>
      <c r="Z67" s="75" t="n">
        <f aca="false">IF(Z15=0,0,-Z60/Z15)</f>
        <v>0.22488315087969</v>
      </c>
      <c r="AA67" s="75" t="n">
        <f aca="false">IF(AA15=0,0,-AA60/AA15)</f>
        <v>0.231951924852131</v>
      </c>
      <c r="AB67" s="75" t="n">
        <f aca="false">IF(AB15=0,0,-AB60/AB15)</f>
        <v>0.244421479891961</v>
      </c>
    </row>
    <row r="68" customFormat="false" ht="15" hidden="false" customHeight="false" outlineLevel="0" collapsed="false">
      <c r="A68" s="25" t="s">
        <v>455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456</v>
      </c>
    </row>
    <row r="3" customFormat="false" ht="15" hidden="false" customHeight="false" outlineLevel="0" collapsed="false">
      <c r="A3" s="49" t="s">
        <v>457</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458</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459</v>
      </c>
      <c r="B9" s="62" t="s">
        <v>35</v>
      </c>
      <c r="C9" s="64" t="n">
        <f aca="false">P9</f>
        <v>7793186.71369928</v>
      </c>
      <c r="D9" s="64" t="n">
        <f aca="false">AB9</f>
        <v>3525929.54743888</v>
      </c>
      <c r="E9" s="65" t="n">
        <f aca="false">CF!E30</f>
        <v>11693806.8483333</v>
      </c>
      <c r="F9" s="65" t="n">
        <f aca="false">CF!F30</f>
        <v>11333821.8783333</v>
      </c>
      <c r="G9" s="65" t="n">
        <f aca="false">CF!G30</f>
        <v>10916994.5140333</v>
      </c>
      <c r="H9" s="65" t="n">
        <f aca="false">CF!H30</f>
        <v>10274323.7440333</v>
      </c>
      <c r="I9" s="65" t="n">
        <f aca="false">CF!I30</f>
        <v>9846282.76743333</v>
      </c>
      <c r="J9" s="65" t="n">
        <f aca="false">CF!J30</f>
        <v>9444647.25743333</v>
      </c>
      <c r="K9" s="65" t="n">
        <f aca="false">CF!K30</f>
        <v>9747127.25313333</v>
      </c>
      <c r="L9" s="65" t="n">
        <f aca="false">CF!L30</f>
        <v>9337248.92233333</v>
      </c>
      <c r="M9" s="65" t="n">
        <f aca="false">CF!M30</f>
        <v>9025696.82675901</v>
      </c>
      <c r="N9" s="65" t="n">
        <f aca="false">CF!N30</f>
        <v>8475238.80494082</v>
      </c>
      <c r="O9" s="65" t="n">
        <f aca="false">CF!O30</f>
        <v>8100523.80613852</v>
      </c>
      <c r="P9" s="65" t="n">
        <f aca="false">CF!P30</f>
        <v>7793186.71369928</v>
      </c>
      <c r="Q9" s="65" t="n">
        <f aca="false">CF!Q30</f>
        <v>7165216.97392281</v>
      </c>
      <c r="R9" s="65" t="n">
        <f aca="false">CF!R30</f>
        <v>6741811.80041374</v>
      </c>
      <c r="S9" s="65" t="n">
        <f aca="false">CF!S30</f>
        <v>6422907.3298301</v>
      </c>
      <c r="T9" s="65" t="n">
        <f aca="false">CF!T30</f>
        <v>5824644.84019085</v>
      </c>
      <c r="U9" s="65" t="n">
        <f aca="false">CF!U30</f>
        <v>5441715.23954591</v>
      </c>
      <c r="V9" s="65" t="n">
        <f aca="false">CF!V30</f>
        <v>5127276.2256736</v>
      </c>
      <c r="W9" s="65" t="n">
        <f aca="false">CF!W30</f>
        <v>4550636.65590596</v>
      </c>
      <c r="X9" s="65" t="n">
        <f aca="false">CF!X30</f>
        <v>4071791.31864774</v>
      </c>
      <c r="Y9" s="65" t="n">
        <f aca="false">CF!Y30</f>
        <v>4853555.43605598</v>
      </c>
      <c r="Z9" s="65" t="n">
        <f aca="false">CF!Z30</f>
        <v>4295933.0927108</v>
      </c>
      <c r="AA9" s="65" t="n">
        <f aca="false">CF!AA30</f>
        <v>3884170.29165767</v>
      </c>
      <c r="AB9" s="65" t="n">
        <f aca="false">CF!AB30</f>
        <v>3525929.54743888</v>
      </c>
    </row>
    <row r="10" customFormat="false" ht="15" hidden="false" customHeight="false" outlineLevel="0" collapsed="false">
      <c r="A10" s="28" t="s">
        <v>460</v>
      </c>
      <c r="B10" s="62" t="s">
        <v>65</v>
      </c>
      <c r="C10" s="64" t="n">
        <f aca="false">P10</f>
        <v>-0.00769999966723844</v>
      </c>
      <c r="D10" s="64" t="n">
        <f aca="false">AB10</f>
        <v>-0.00769999966723844</v>
      </c>
      <c r="E10" s="65" t="n">
        <f aca="false">Receivables!E12</f>
        <v>0.00130000006174669</v>
      </c>
      <c r="F10" s="65" t="n">
        <f aca="false">Receivables!F12</f>
        <v>-0.000399999902583659</v>
      </c>
      <c r="G10" s="65" t="n">
        <f aca="false">Receivables!G12</f>
        <v>-0.00249999982770532</v>
      </c>
      <c r="H10" s="65" t="n">
        <f aca="false">Receivables!H12</f>
        <v>-0.0043999997433275</v>
      </c>
      <c r="I10" s="65" t="n">
        <f aca="false">Receivables!I12</f>
        <v>-0.00499999971361831</v>
      </c>
      <c r="J10" s="65" t="n">
        <f aca="false">Receivables!J12</f>
        <v>-0.00739999971119687</v>
      </c>
      <c r="K10" s="65" t="n">
        <f aca="false">Receivables!K12</f>
        <v>-0.00419999967562035</v>
      </c>
      <c r="L10" s="65" t="n">
        <f aca="false">Receivables!L12</f>
        <v>-0.00769999966723844</v>
      </c>
      <c r="M10" s="65" t="n">
        <f aca="false">Receivables!M12</f>
        <v>-0.00769999966723844</v>
      </c>
      <c r="N10" s="65" t="n">
        <f aca="false">Receivables!N12</f>
        <v>-0.00769999966723844</v>
      </c>
      <c r="O10" s="65" t="n">
        <f aca="false">Receivables!O12</f>
        <v>-0.00769999966723844</v>
      </c>
      <c r="P10" s="65" t="n">
        <f aca="false">Receivables!P12</f>
        <v>-0.00769999966723844</v>
      </c>
      <c r="Q10" s="65" t="n">
        <f aca="false">Receivables!Q12</f>
        <v>-0.00769999966723844</v>
      </c>
      <c r="R10" s="65" t="n">
        <f aca="false">Receivables!R12</f>
        <v>-0.00769999966723844</v>
      </c>
      <c r="S10" s="65" t="n">
        <f aca="false">Receivables!S12</f>
        <v>-0.00769999966723844</v>
      </c>
      <c r="T10" s="65" t="n">
        <f aca="false">Receivables!T12</f>
        <v>-0.00769999966723844</v>
      </c>
      <c r="U10" s="65" t="n">
        <f aca="false">Receivables!U12</f>
        <v>-0.00769999966723844</v>
      </c>
      <c r="V10" s="65" t="n">
        <f aca="false">Receivables!V12</f>
        <v>-0.00769999966723844</v>
      </c>
      <c r="W10" s="65" t="n">
        <f aca="false">Receivables!W12</f>
        <v>-0.00769999966723844</v>
      </c>
      <c r="X10" s="65" t="n">
        <f aca="false">Receivables!X12</f>
        <v>-0.00769999966723844</v>
      </c>
      <c r="Y10" s="65" t="n">
        <f aca="false">Receivables!Y12</f>
        <v>-0.00769999966723844</v>
      </c>
      <c r="Z10" s="65" t="n">
        <f aca="false">Receivables!Z12</f>
        <v>-0.00769999966723844</v>
      </c>
      <c r="AA10" s="65" t="n">
        <f aca="false">Receivables!AA12</f>
        <v>-0.00769999966723844</v>
      </c>
      <c r="AB10" s="65" t="n">
        <f aca="false">Receivables!AB12</f>
        <v>-0.00769999966723844</v>
      </c>
    </row>
    <row r="11" customFormat="false" ht="15" hidden="false" customHeight="false" outlineLevel="0" collapsed="false">
      <c r="A11" s="28" t="s">
        <v>461</v>
      </c>
      <c r="B11" s="62" t="s">
        <v>65</v>
      </c>
      <c r="C11" s="64" t="n">
        <f aca="false">P11</f>
        <v>191600</v>
      </c>
      <c r="D11" s="64" t="n">
        <f aca="false">AB11</f>
        <v>215280</v>
      </c>
      <c r="E11" s="65" t="n">
        <f aca="false">Receivables!E21</f>
        <v>142000</v>
      </c>
      <c r="F11" s="65" t="n">
        <f aca="false">Receivables!F21</f>
        <v>105000</v>
      </c>
      <c r="G11" s="65" t="n">
        <f aca="false">Receivables!G21</f>
        <v>143000</v>
      </c>
      <c r="H11" s="65" t="n">
        <f aca="false">Receivables!H21</f>
        <v>214000</v>
      </c>
      <c r="I11" s="65" t="n">
        <f aca="false">Receivables!I21</f>
        <v>171071.208</v>
      </c>
      <c r="J11" s="65" t="n">
        <f aca="false">Receivables!J21</f>
        <v>170071.208</v>
      </c>
      <c r="K11" s="65" t="n">
        <f aca="false">Receivables!K21</f>
        <v>244071.208</v>
      </c>
      <c r="L11" s="65" t="n">
        <f aca="false">Receivables!L21</f>
        <v>175071.208</v>
      </c>
      <c r="M11" s="65" t="n">
        <f aca="false">Receivables!M21</f>
        <v>170071.21</v>
      </c>
      <c r="N11" s="65" t="n">
        <f aca="false">Receivables!N21</f>
        <v>226000</v>
      </c>
      <c r="O11" s="65" t="n">
        <f aca="false">Receivables!O21</f>
        <v>216400</v>
      </c>
      <c r="P11" s="65" t="n">
        <f aca="false">Receivables!P21</f>
        <v>191600</v>
      </c>
      <c r="Q11" s="65" t="n">
        <f aca="false">Receivables!Q21</f>
        <v>226000</v>
      </c>
      <c r="R11" s="65" t="n">
        <f aca="false">Receivables!R21</f>
        <v>217360</v>
      </c>
      <c r="S11" s="65" t="n">
        <f aca="false">Receivables!S21</f>
        <v>245667.413234188</v>
      </c>
      <c r="T11" s="65" t="n">
        <f aca="false">Receivables!T21</f>
        <v>318859.459188611</v>
      </c>
      <c r="U11" s="65" t="n">
        <f aca="false">Receivables!U21</f>
        <v>314266.558873302</v>
      </c>
      <c r="V11" s="65" t="n">
        <f aca="false">Receivables!V21</f>
        <v>255403.846493689</v>
      </c>
      <c r="W11" s="65" t="n">
        <f aca="false">Receivables!W21</f>
        <v>241040</v>
      </c>
      <c r="X11" s="65" t="n">
        <f aca="false">Receivables!X21</f>
        <v>216720</v>
      </c>
      <c r="Y11" s="65" t="n">
        <f aca="false">Receivables!Y21</f>
        <v>216240</v>
      </c>
      <c r="Z11" s="65" t="n">
        <f aca="false">Receivables!Z21</f>
        <v>241040</v>
      </c>
      <c r="AA11" s="65" t="n">
        <f aca="false">Receivables!AA21</f>
        <v>215280</v>
      </c>
      <c r="AB11" s="65" t="n">
        <f aca="false">Receivables!AB21</f>
        <v>215280</v>
      </c>
    </row>
    <row r="12" customFormat="false" ht="15" hidden="false" customHeight="false" outlineLevel="0" collapsed="false">
      <c r="A12" s="28" t="s">
        <v>462</v>
      </c>
      <c r="B12" s="62" t="s">
        <v>65</v>
      </c>
      <c r="C12" s="64" t="n">
        <f aca="false">P12</f>
        <v>262121.071420328</v>
      </c>
      <c r="D12" s="64" t="n">
        <f aca="false">AB12</f>
        <v>354570.29922851</v>
      </c>
      <c r="E12" s="65" t="n">
        <f aca="false">Receivables!E27</f>
        <v>283420.64</v>
      </c>
      <c r="F12" s="65" t="n">
        <f aca="false">Receivables!F27</f>
        <v>299107.96</v>
      </c>
      <c r="G12" s="65" t="n">
        <f aca="false">Receivables!G27</f>
        <v>195477.61</v>
      </c>
      <c r="H12" s="65" t="n">
        <f aca="false">Receivables!H27</f>
        <v>259166.66</v>
      </c>
      <c r="I12" s="65" t="n">
        <f aca="false">Receivables!I27</f>
        <v>292499.99</v>
      </c>
      <c r="J12" s="65" t="n">
        <f aca="false">Receivables!J27</f>
        <v>192499.99</v>
      </c>
      <c r="K12" s="65" t="n">
        <f aca="false">Receivables!K27</f>
        <v>335833.32</v>
      </c>
      <c r="L12" s="65" t="n">
        <f aca="false">Receivables!L27</f>
        <v>344999.99</v>
      </c>
      <c r="M12" s="65" t="n">
        <f aca="false">Receivables!M27</f>
        <v>193166.666666667</v>
      </c>
      <c r="N12" s="65" t="n">
        <f aca="false">Receivables!N27</f>
        <v>338649.943718347</v>
      </c>
      <c r="O12" s="65" t="n">
        <f aca="false">Receivables!O27</f>
        <v>350435.340310168</v>
      </c>
      <c r="P12" s="65" t="n">
        <f aca="false">Receivables!P27</f>
        <v>262121.071420328</v>
      </c>
      <c r="Q12" s="65" t="n">
        <f aca="false">Receivables!Q27</f>
        <v>425508.388969111</v>
      </c>
      <c r="R12" s="65" t="n">
        <f aca="false">Receivables!R27</f>
        <v>441517.976922047</v>
      </c>
      <c r="S12" s="65" t="n">
        <f aca="false">Receivables!S27</f>
        <v>310621.043251041</v>
      </c>
      <c r="T12" s="65" t="n">
        <f aca="false">Receivables!T27</f>
        <v>389546.806732563</v>
      </c>
      <c r="U12" s="65" t="n">
        <f aca="false">Receivables!U27</f>
        <v>442198.43189638</v>
      </c>
      <c r="V12" s="65" t="n">
        <f aca="false">Receivables!V27</f>
        <v>307058.135247179</v>
      </c>
      <c r="W12" s="65" t="n">
        <f aca="false">Receivables!W27</f>
        <v>370377.318225627</v>
      </c>
      <c r="X12" s="65" t="n">
        <f aca="false">Receivables!X27</f>
        <v>423334.878817084</v>
      </c>
      <c r="Y12" s="65" t="n">
        <f aca="false">Receivables!Y27</f>
        <v>296453.221740217</v>
      </c>
      <c r="Z12" s="65" t="n">
        <f aca="false">Receivables!Z27</f>
        <v>380331.461379039</v>
      </c>
      <c r="AA12" s="65" t="n">
        <f aca="false">Receivables!AA27</f>
        <v>458950.521926018</v>
      </c>
      <c r="AB12" s="65" t="n">
        <f aca="false">Receivables!AB27</f>
        <v>354570.29922851</v>
      </c>
    </row>
    <row r="13" customFormat="false" ht="15" hidden="false" customHeight="false" outlineLevel="0" collapsed="false">
      <c r="A13" s="28" t="s">
        <v>463</v>
      </c>
      <c r="B13" s="62" t="s">
        <v>51</v>
      </c>
      <c r="C13" s="64" t="n">
        <f aca="false">P13</f>
        <v>35739.1398669335</v>
      </c>
      <c r="D13" s="64" t="n">
        <f aca="false">AB13</f>
        <v>50099.6040079565</v>
      </c>
      <c r="E13" s="65" t="n">
        <f aca="false">Enterprise!E208</f>
        <v>-0</v>
      </c>
      <c r="F13" s="65" t="n">
        <f aca="false">Enterprise!F208</f>
        <v>7658.4</v>
      </c>
      <c r="G13" s="65" t="n">
        <f aca="false">Enterprise!G208</f>
        <v>-0</v>
      </c>
      <c r="H13" s="65" t="n">
        <f aca="false">Enterprise!H208</f>
        <v>7868.9</v>
      </c>
      <c r="I13" s="65" t="n">
        <f aca="false">Enterprise!I208</f>
        <v>-0</v>
      </c>
      <c r="J13" s="65" t="n">
        <f aca="false">Enterprise!J208</f>
        <v>7328.07</v>
      </c>
      <c r="K13" s="65" t="n">
        <f aca="false">Enterprise!K208</f>
        <v>29335.21</v>
      </c>
      <c r="L13" s="65" t="n">
        <f aca="false">Enterprise!L208</f>
        <v>21877.98</v>
      </c>
      <c r="M13" s="65" t="n">
        <f aca="false">Enterprise!M208</f>
        <v>31789.77499</v>
      </c>
      <c r="N13" s="65" t="n">
        <f aca="false">Enterprise!N208</f>
        <v>58934.4066534</v>
      </c>
      <c r="O13" s="65" t="n">
        <f aca="false">Enterprise!O208</f>
        <v>72066.4862255914</v>
      </c>
      <c r="P13" s="65" t="n">
        <f aca="false">Enterprise!P208</f>
        <v>35739.1398669335</v>
      </c>
      <c r="Q13" s="65" t="n">
        <f aca="false">Enterprise!Q208</f>
        <v>47928.5957786636</v>
      </c>
      <c r="R13" s="65" t="n">
        <f aca="false">Enterprise!R208</f>
        <v>104808.285122656</v>
      </c>
      <c r="S13" s="65" t="n">
        <f aca="false">Enterprise!S208</f>
        <v>-0</v>
      </c>
      <c r="T13" s="65" t="n">
        <f aca="false">Enterprise!T208</f>
        <v>24120.7834253745</v>
      </c>
      <c r="U13" s="65" t="n">
        <f aca="false">Enterprise!U208</f>
        <v>-0</v>
      </c>
      <c r="V13" s="65" t="n">
        <f aca="false">Enterprise!V208</f>
        <v>18997.3098522263</v>
      </c>
      <c r="W13" s="65" t="n">
        <f aca="false">Enterprise!W208</f>
        <v>55295.8883117808</v>
      </c>
      <c r="X13" s="65" t="n">
        <f aca="false">Enterprise!X208</f>
        <v>40786.6757832136</v>
      </c>
      <c r="Y13" s="65" t="n">
        <f aca="false">Enterprise!Y208</f>
        <v>63860.8001924558</v>
      </c>
      <c r="Z13" s="65" t="n">
        <f aca="false">Enterprise!Z208</f>
        <v>97992.8008501243</v>
      </c>
      <c r="AA13" s="65" t="n">
        <f aca="false">Enterprise!AA208</f>
        <v>105868.218805668</v>
      </c>
      <c r="AB13" s="65" t="n">
        <f aca="false">Enterprise!AB208</f>
        <v>50099.6040079565</v>
      </c>
    </row>
    <row r="14" customFormat="false" ht="15" hidden="false" customHeight="false" outlineLevel="0" collapsed="false">
      <c r="A14" s="28" t="s">
        <v>390</v>
      </c>
      <c r="B14" s="62" t="s">
        <v>63</v>
      </c>
      <c r="C14" s="64" t="n">
        <f aca="false">P14</f>
        <v>1137599.27210099</v>
      </c>
      <c r="D14" s="64" t="n">
        <f aca="false">AB14</f>
        <v>1311775.13838346</v>
      </c>
      <c r="E14" s="65" t="n">
        <f aca="false">Research_Credit!E13</f>
        <v>1024980.6082</v>
      </c>
      <c r="F14" s="65" t="n">
        <f aca="false">Research_Credit!F13</f>
        <v>1118098.0984</v>
      </c>
      <c r="G14" s="65" t="n">
        <f aca="false">Research_Credit!G13</f>
        <v>1212178.825</v>
      </c>
      <c r="H14" s="65" t="n">
        <f aca="false">Research_Credit!H13</f>
        <v>1309817.7706</v>
      </c>
      <c r="I14" s="65" t="n">
        <f aca="false">Research_Credit!I13</f>
        <v>1406131.633</v>
      </c>
      <c r="J14" s="65" t="n">
        <f aca="false">Research_Credit!J13</f>
        <v>1502682.9214</v>
      </c>
      <c r="K14" s="65" t="n">
        <f aca="false">Research_Credit!K13</f>
        <v>663854.4738</v>
      </c>
      <c r="L14" s="65" t="n">
        <f aca="false">Research_Credit!L13</f>
        <v>758369.3376</v>
      </c>
      <c r="M14" s="65" t="n">
        <f aca="false">Research_Credit!M13</f>
        <v>851677.940834467</v>
      </c>
      <c r="N14" s="65" t="n">
        <f aca="false">Research_Credit!N13</f>
        <v>946997.424048313</v>
      </c>
      <c r="O14" s="65" t="n">
        <f aca="false">Research_Credit!O13</f>
        <v>1042306.68414491</v>
      </c>
      <c r="P14" s="65" t="n">
        <f aca="false">Research_Credit!P13</f>
        <v>1137599.27210099</v>
      </c>
      <c r="Q14" s="65" t="n">
        <f aca="false">Research_Credit!Q13</f>
        <v>1242968.02069588</v>
      </c>
      <c r="R14" s="65" t="n">
        <f aca="false">Research_Credit!R13</f>
        <v>1348276.76784327</v>
      </c>
      <c r="S14" s="65" t="n">
        <f aca="false">Research_Credit!S13</f>
        <v>1456397.97685621</v>
      </c>
      <c r="T14" s="65" t="n">
        <f aca="false">Research_Credit!T13</f>
        <v>1564496.24869901</v>
      </c>
      <c r="U14" s="65" t="n">
        <f aca="false">Research_Credit!U13</f>
        <v>1672571.27450268</v>
      </c>
      <c r="V14" s="65" t="n">
        <f aca="false">Research_Credit!V13</f>
        <v>1781935.44470143</v>
      </c>
      <c r="W14" s="65" t="n">
        <f aca="false">Research_Credit!W13</f>
        <v>1891289.06574721</v>
      </c>
      <c r="X14" s="65" t="n">
        <f aca="false">Research_Credit!X13</f>
        <v>2000632.03183264</v>
      </c>
      <c r="Y14" s="65" t="n">
        <f aca="false">Research_Credit!Y13</f>
        <v>975248.008921619</v>
      </c>
      <c r="Z14" s="65" t="n">
        <f aca="false">Research_Credit!Z13</f>
        <v>1087439.41121039</v>
      </c>
      <c r="AA14" s="65" t="n">
        <f aca="false">Research_Credit!AA13</f>
        <v>1199607.0765308</v>
      </c>
      <c r="AB14" s="65" t="n">
        <f aca="false">Research_Credit!AB13</f>
        <v>1311775.13838346</v>
      </c>
    </row>
    <row r="15" customFormat="false" ht="15" hidden="false" customHeight="false" outlineLevel="0" collapsed="false">
      <c r="A15" s="28" t="s">
        <v>464</v>
      </c>
      <c r="B15" s="62" t="s">
        <v>73</v>
      </c>
      <c r="C15" s="64" t="n">
        <f aca="false">P15</f>
        <v>8272.1585</v>
      </c>
      <c r="D15" s="64" t="n">
        <f aca="false">AB15</f>
        <v>8731.71990762873</v>
      </c>
      <c r="E15" s="65" t="n">
        <f aca="false">VAT!E16</f>
        <v>8669.268</v>
      </c>
      <c r="F15" s="65" t="n">
        <f aca="false">VAT!F16</f>
        <v>10330.9996666667</v>
      </c>
      <c r="G15" s="65" t="n">
        <f aca="false">VAT!G16</f>
        <v>15953.3156666667</v>
      </c>
      <c r="H15" s="65" t="n">
        <f aca="false">VAT!H16</f>
        <v>10431.939</v>
      </c>
      <c r="I15" s="65" t="n">
        <f aca="false">VAT!I16</f>
        <v>8800.961</v>
      </c>
      <c r="J15" s="65" t="n">
        <f aca="false">VAT!J16</f>
        <v>13281.3673333333</v>
      </c>
      <c r="K15" s="65" t="n">
        <f aca="false">VAT!K16</f>
        <v>7102.103</v>
      </c>
      <c r="L15" s="65" t="n">
        <f aca="false">VAT!L16</f>
        <v>6437.99766666667</v>
      </c>
      <c r="M15" s="65" t="n">
        <f aca="false">VAT!M16</f>
        <v>6700</v>
      </c>
      <c r="N15" s="65" t="n">
        <f aca="false">VAT!N16</f>
        <v>10660</v>
      </c>
      <c r="O15" s="65" t="n">
        <f aca="false">VAT!O16</f>
        <v>10270.6</v>
      </c>
      <c r="P15" s="65" t="n">
        <f aca="false">VAT!P16</f>
        <v>8272.1585</v>
      </c>
      <c r="Q15" s="65" t="n">
        <f aca="false">VAT!Q16</f>
        <v>18345.2037245833</v>
      </c>
      <c r="R15" s="65" t="n">
        <f aca="false">VAT!R16</f>
        <v>10458.2269946747</v>
      </c>
      <c r="S15" s="65" t="n">
        <f aca="false">VAT!S16</f>
        <v>14393.4619940488</v>
      </c>
      <c r="T15" s="65" t="n">
        <f aca="false">VAT!T16</f>
        <v>12544.1714118703</v>
      </c>
      <c r="U15" s="65" t="n">
        <f aca="false">VAT!U16</f>
        <v>8615.91954359569</v>
      </c>
      <c r="V15" s="65" t="n">
        <f aca="false">VAT!V16</f>
        <v>14915.6228683825</v>
      </c>
      <c r="W15" s="65" t="n">
        <f aca="false">VAT!W16</f>
        <v>10667.7267875868</v>
      </c>
      <c r="X15" s="65" t="n">
        <f aca="false">VAT!X16</f>
        <v>8686.76488582441</v>
      </c>
      <c r="Y15" s="65" t="n">
        <f aca="false">VAT!Y16</f>
        <v>10682.4288716758</v>
      </c>
      <c r="Z15" s="65" t="n">
        <f aca="false">VAT!Z16</f>
        <v>8715.51769981465</v>
      </c>
      <c r="AA15" s="65" t="n">
        <f aca="false">VAT!AA16</f>
        <v>8715.30562610536</v>
      </c>
      <c r="AB15" s="65" t="n">
        <f aca="false">VAT!AB16</f>
        <v>8731.71990762873</v>
      </c>
    </row>
    <row r="16" customFormat="false" ht="15" hidden="false" customHeight="false" outlineLevel="0" collapsed="false">
      <c r="A16" s="28" t="s">
        <v>465</v>
      </c>
      <c r="B16" s="62" t="s">
        <v>77</v>
      </c>
      <c r="C16" s="64" t="n">
        <f aca="false">P16</f>
        <v>0</v>
      </c>
      <c r="D16" s="64" t="n">
        <f aca="false">AB16</f>
        <v>0</v>
      </c>
      <c r="E16" s="65" t="n">
        <f aca="false">Overheads!E21</f>
        <v>68000</v>
      </c>
      <c r="F16" s="65" t="n">
        <f aca="false">Overheads!F21</f>
        <v>34000</v>
      </c>
      <c r="G16" s="65" t="n">
        <f aca="false">Overheads!G21</f>
        <v>0</v>
      </c>
      <c r="H16" s="65" t="n">
        <f aca="false">Overheads!H21</f>
        <v>68000</v>
      </c>
      <c r="I16" s="65" t="n">
        <f aca="false">Overheads!I21</f>
        <v>34000</v>
      </c>
      <c r="J16" s="65" t="n">
        <f aca="false">Overheads!J21</f>
        <v>0</v>
      </c>
      <c r="K16" s="65" t="n">
        <f aca="false">Overheads!K21</f>
        <v>68000</v>
      </c>
      <c r="L16" s="65" t="n">
        <f aca="false">Overheads!L21</f>
        <v>34000</v>
      </c>
      <c r="M16" s="65" t="n">
        <f aca="false">Overheads!M21</f>
        <v>0</v>
      </c>
      <c r="N16" s="65" t="n">
        <f aca="false">Overheads!N21</f>
        <v>68000</v>
      </c>
      <c r="O16" s="65" t="n">
        <f aca="false">Overheads!O21</f>
        <v>34000</v>
      </c>
      <c r="P16" s="65" t="n">
        <f aca="false">Overheads!P21</f>
        <v>0</v>
      </c>
      <c r="Q16" s="65" t="n">
        <f aca="false">Overheads!Q21</f>
        <v>69700</v>
      </c>
      <c r="R16" s="65" t="n">
        <f aca="false">Overheads!R21</f>
        <v>34850</v>
      </c>
      <c r="S16" s="65" t="n">
        <f aca="false">Overheads!S21</f>
        <v>0</v>
      </c>
      <c r="T16" s="65" t="n">
        <f aca="false">Overheads!T21</f>
        <v>69700</v>
      </c>
      <c r="U16" s="65" t="n">
        <f aca="false">Overheads!U21</f>
        <v>34850</v>
      </c>
      <c r="V16" s="65" t="n">
        <f aca="false">Overheads!V21</f>
        <v>0</v>
      </c>
      <c r="W16" s="65" t="n">
        <f aca="false">Overheads!W21</f>
        <v>69700</v>
      </c>
      <c r="X16" s="65" t="n">
        <f aca="false">Overheads!X21</f>
        <v>34850</v>
      </c>
      <c r="Y16" s="65" t="n">
        <f aca="false">Overheads!Y21</f>
        <v>0</v>
      </c>
      <c r="Z16" s="65" t="n">
        <f aca="false">Overheads!Z21</f>
        <v>69700</v>
      </c>
      <c r="AA16" s="65" t="n">
        <f aca="false">Overheads!AA21</f>
        <v>34850</v>
      </c>
      <c r="AB16" s="65" t="n">
        <f aca="false">Overheads!AB21</f>
        <v>0</v>
      </c>
    </row>
    <row r="17" customFormat="false" ht="15" hidden="false" customHeight="false" outlineLevel="0" collapsed="false">
      <c r="A17" s="28" t="s">
        <v>466</v>
      </c>
      <c r="B17" s="62" t="s">
        <v>467</v>
      </c>
      <c r="C17" s="64" t="n">
        <f aca="false">P17</f>
        <v>30000</v>
      </c>
      <c r="D17" s="64" t="n">
        <f aca="false">AB17</f>
        <v>30000</v>
      </c>
      <c r="E17" s="65" t="n">
        <f aca="false">Inputs_Actuals!$C$180</f>
        <v>30000</v>
      </c>
      <c r="F17" s="73" t="n">
        <f aca="false">E17</f>
        <v>30000</v>
      </c>
      <c r="G17" s="73" t="n">
        <f aca="false">F17</f>
        <v>30000</v>
      </c>
      <c r="H17" s="73" t="n">
        <f aca="false">G17</f>
        <v>30000</v>
      </c>
      <c r="I17" s="73" t="n">
        <f aca="false">H17</f>
        <v>30000</v>
      </c>
      <c r="J17" s="73" t="n">
        <f aca="false">I17</f>
        <v>30000</v>
      </c>
      <c r="K17" s="73" t="n">
        <f aca="false">J17</f>
        <v>30000</v>
      </c>
      <c r="L17" s="73" t="n">
        <f aca="false">K17</f>
        <v>30000</v>
      </c>
      <c r="M17" s="73" t="n">
        <f aca="false">L17</f>
        <v>30000</v>
      </c>
      <c r="N17" s="73" t="n">
        <f aca="false">M17</f>
        <v>30000</v>
      </c>
      <c r="O17" s="73" t="n">
        <f aca="false">N17</f>
        <v>30000</v>
      </c>
      <c r="P17" s="73" t="n">
        <f aca="false">O17</f>
        <v>30000</v>
      </c>
      <c r="Q17" s="73" t="n">
        <f aca="false">P17</f>
        <v>30000</v>
      </c>
      <c r="R17" s="73" t="n">
        <f aca="false">Q17</f>
        <v>30000</v>
      </c>
      <c r="S17" s="73" t="n">
        <f aca="false">R17</f>
        <v>30000</v>
      </c>
      <c r="T17" s="73" t="n">
        <f aca="false">S17</f>
        <v>30000</v>
      </c>
      <c r="U17" s="73" t="n">
        <f aca="false">T17</f>
        <v>30000</v>
      </c>
      <c r="V17" s="73" t="n">
        <f aca="false">U17</f>
        <v>30000</v>
      </c>
      <c r="W17" s="73" t="n">
        <f aca="false">V17</f>
        <v>30000</v>
      </c>
      <c r="X17" s="73" t="n">
        <f aca="false">W17</f>
        <v>30000</v>
      </c>
      <c r="Y17" s="73" t="n">
        <f aca="false">X17</f>
        <v>30000</v>
      </c>
      <c r="Z17" s="73" t="n">
        <f aca="false">Y17</f>
        <v>30000</v>
      </c>
      <c r="AA17" s="73" t="n">
        <f aca="false">Z17</f>
        <v>30000</v>
      </c>
      <c r="AB17" s="73" t="n">
        <f aca="false">AA17</f>
        <v>30000</v>
      </c>
    </row>
    <row r="18" customFormat="false" ht="15" hidden="false" customHeight="false" outlineLevel="0" collapsed="false">
      <c r="A18" s="28" t="s">
        <v>468</v>
      </c>
      <c r="B18" s="62" t="s">
        <v>469</v>
      </c>
      <c r="C18" s="64" t="n">
        <f aca="false">P18</f>
        <v>102000</v>
      </c>
      <c r="D18" s="64" t="n">
        <f aca="false">AB18</f>
        <v>102000</v>
      </c>
      <c r="E18" s="65" t="n">
        <f aca="false">Inputs_Actuals!$C$181</f>
        <v>102000</v>
      </c>
      <c r="F18" s="73" t="n">
        <f aca="false">E18</f>
        <v>102000</v>
      </c>
      <c r="G18" s="73" t="n">
        <f aca="false">F18</f>
        <v>102000</v>
      </c>
      <c r="H18" s="73" t="n">
        <f aca="false">G18</f>
        <v>102000</v>
      </c>
      <c r="I18" s="73" t="n">
        <f aca="false">H18</f>
        <v>102000</v>
      </c>
      <c r="J18" s="73" t="n">
        <f aca="false">I18</f>
        <v>102000</v>
      </c>
      <c r="K18" s="73" t="n">
        <f aca="false">J18</f>
        <v>102000</v>
      </c>
      <c r="L18" s="73" t="n">
        <f aca="false">K18</f>
        <v>102000</v>
      </c>
      <c r="M18" s="73" t="n">
        <f aca="false">L18</f>
        <v>102000</v>
      </c>
      <c r="N18" s="73" t="n">
        <f aca="false">M18</f>
        <v>102000</v>
      </c>
      <c r="O18" s="73" t="n">
        <f aca="false">N18</f>
        <v>102000</v>
      </c>
      <c r="P18" s="73" t="n">
        <f aca="false">O18</f>
        <v>102000</v>
      </c>
      <c r="Q18" s="73" t="n">
        <f aca="false">P18</f>
        <v>102000</v>
      </c>
      <c r="R18" s="73" t="n">
        <f aca="false">Q18</f>
        <v>102000</v>
      </c>
      <c r="S18" s="73" t="n">
        <f aca="false">R18</f>
        <v>102000</v>
      </c>
      <c r="T18" s="73" t="n">
        <f aca="false">S18</f>
        <v>102000</v>
      </c>
      <c r="U18" s="73" t="n">
        <f aca="false">T18</f>
        <v>102000</v>
      </c>
      <c r="V18" s="73" t="n">
        <f aca="false">U18</f>
        <v>102000</v>
      </c>
      <c r="W18" s="73" t="n">
        <f aca="false">V18</f>
        <v>102000</v>
      </c>
      <c r="X18" s="73" t="n">
        <f aca="false">W18</f>
        <v>102000</v>
      </c>
      <c r="Y18" s="73" t="n">
        <f aca="false">X18</f>
        <v>102000</v>
      </c>
      <c r="Z18" s="73" t="n">
        <f aca="false">Y18</f>
        <v>102000</v>
      </c>
      <c r="AA18" s="73" t="n">
        <f aca="false">Z18</f>
        <v>102000</v>
      </c>
      <c r="AB18" s="73" t="n">
        <f aca="false">AA18</f>
        <v>102000</v>
      </c>
    </row>
    <row r="19" customFormat="false" ht="15" hidden="false" customHeight="false" outlineLevel="0" collapsed="false">
      <c r="A19" s="28" t="s">
        <v>470</v>
      </c>
      <c r="B19" s="62" t="s">
        <v>79</v>
      </c>
      <c r="C19" s="64" t="n">
        <f aca="false">P19</f>
        <v>221975.242777778</v>
      </c>
      <c r="D19" s="64" t="n">
        <f aca="false">AB19</f>
        <v>197663.499312204</v>
      </c>
      <c r="E19" s="65" t="n">
        <f aca="false">Fixed_Assets!E12</f>
        <v>239057.75</v>
      </c>
      <c r="F19" s="65" t="n">
        <f aca="false">Fixed_Assets!F12</f>
        <v>240187.946944444</v>
      </c>
      <c r="G19" s="65" t="n">
        <f aca="false">Fixed_Assets!G12</f>
        <v>243357.590277778</v>
      </c>
      <c r="H19" s="65" t="n">
        <f aca="false">Fixed_Assets!H12</f>
        <v>244013.028611111</v>
      </c>
      <c r="I19" s="65" t="n">
        <f aca="false">Fixed_Assets!I12</f>
        <v>241898.181388889</v>
      </c>
      <c r="J19" s="65" t="n">
        <f aca="false">Fixed_Assets!J12</f>
        <v>240422.8675</v>
      </c>
      <c r="K19" s="65" t="n">
        <f aca="false">Fixed_Assets!K12</f>
        <v>235565.870555556</v>
      </c>
      <c r="L19" s="65" t="n">
        <f aca="false">Fixed_Assets!L12</f>
        <v>230598.290555556</v>
      </c>
      <c r="M19" s="65" t="n">
        <f aca="false">Fixed_Assets!M12</f>
        <v>225885.005833333</v>
      </c>
      <c r="N19" s="65" t="n">
        <f aca="false">Fixed_Assets!N12</f>
        <v>225902.276666667</v>
      </c>
      <c r="O19" s="65" t="n">
        <f aca="false">Fixed_Assets!O12</f>
        <v>225244.769722222</v>
      </c>
      <c r="P19" s="65" t="n">
        <f aca="false">Fixed_Assets!P12</f>
        <v>221975.242777778</v>
      </c>
      <c r="Q19" s="65" t="n">
        <f aca="false">Fixed_Assets!Q12</f>
        <v>230611.270364815</v>
      </c>
      <c r="R19" s="65" t="n">
        <f aca="false">Fixed_Assets!R12</f>
        <v>229230.837817128</v>
      </c>
      <c r="S19" s="65" t="n">
        <f aca="false">Fixed_Assets!S12</f>
        <v>227658.544427111</v>
      </c>
      <c r="T19" s="65" t="n">
        <f aca="false">Fixed_Assets!T12</f>
        <v>228424.687974721</v>
      </c>
      <c r="U19" s="65" t="n">
        <f aca="false">Fixed_Assets!U12</f>
        <v>224168.146718636</v>
      </c>
      <c r="V19" s="65" t="n">
        <f aca="false">Fixed_Assets!V12</f>
        <v>222200.524659478</v>
      </c>
      <c r="W19" s="65" t="n">
        <f aca="false">Fixed_Assets!W12</f>
        <v>220106.054729039</v>
      </c>
      <c r="X19" s="65" t="n">
        <f aca="false">Fixed_Assets!X12</f>
        <v>215412.431423145</v>
      </c>
      <c r="Y19" s="65" t="n">
        <f aca="false">Fixed_Assets!Y12</f>
        <v>213006.506386773</v>
      </c>
      <c r="Z19" s="65" t="n">
        <f aca="false">Fixed_Assets!Z12</f>
        <v>208017.964143039</v>
      </c>
      <c r="AA19" s="65" t="n">
        <f aca="false">Fixed_Assets!AA12</f>
        <v>202896.908352053</v>
      </c>
      <c r="AB19" s="65" t="n">
        <f aca="false">Fixed_Assets!AB12</f>
        <v>197663.499312204</v>
      </c>
    </row>
    <row r="20" customFormat="false" ht="15" hidden="false" customHeight="false" outlineLevel="0" collapsed="false">
      <c r="A20" s="58" t="s">
        <v>471</v>
      </c>
      <c r="B20" s="59"/>
      <c r="C20" s="60" t="n">
        <f aca="false">P20</f>
        <v>9782493.59066531</v>
      </c>
      <c r="D20" s="60" t="n">
        <f aca="false">AB20</f>
        <v>5796049.80057864</v>
      </c>
      <c r="E20" s="60" t="n">
        <f aca="false">SUM(E9:E19)</f>
        <v>13591935.1158333</v>
      </c>
      <c r="F20" s="60" t="n">
        <f aca="false">SUM(F9:F19)</f>
        <v>13280205.2829444</v>
      </c>
      <c r="G20" s="60" t="n">
        <f aca="false">SUM(G9:G19)</f>
        <v>12858961.8524778</v>
      </c>
      <c r="H20" s="60" t="n">
        <f aca="false">SUM(H9:H19)</f>
        <v>12519622.0378444</v>
      </c>
      <c r="I20" s="60" t="n">
        <f aca="false">SUM(I9:I19)</f>
        <v>12132684.7358222</v>
      </c>
      <c r="J20" s="60" t="n">
        <f aca="false">SUM(J9:J19)</f>
        <v>11702933.6742667</v>
      </c>
      <c r="K20" s="60" t="n">
        <f aca="false">SUM(K9:K19)</f>
        <v>11462889.4342889</v>
      </c>
      <c r="L20" s="60" t="n">
        <f aca="false">SUM(L9:L19)</f>
        <v>11040603.7184556</v>
      </c>
      <c r="M20" s="60" t="n">
        <f aca="false">SUM(M9:M19)</f>
        <v>10636987.4173835</v>
      </c>
      <c r="N20" s="60" t="n">
        <f aca="false">SUM(N9:N19)</f>
        <v>10482382.8483275</v>
      </c>
      <c r="O20" s="60" t="n">
        <f aca="false">SUM(O9:O19)</f>
        <v>10183247.6788414</v>
      </c>
      <c r="P20" s="60" t="n">
        <f aca="false">SUM(P9:P19)</f>
        <v>9782493.59066531</v>
      </c>
      <c r="Q20" s="60" t="n">
        <f aca="false">SUM(Q9:Q19)</f>
        <v>9558278.44575586</v>
      </c>
      <c r="R20" s="60" t="n">
        <f aca="false">SUM(R9:R19)</f>
        <v>9260313.88741352</v>
      </c>
      <c r="S20" s="60" t="n">
        <f aca="false">SUM(S9:S19)</f>
        <v>8809645.76189271</v>
      </c>
      <c r="T20" s="60" t="n">
        <f aca="false">SUM(T9:T19)</f>
        <v>8564336.98992301</v>
      </c>
      <c r="U20" s="60" t="n">
        <f aca="false">SUM(U9:U19)</f>
        <v>8270385.56338051</v>
      </c>
      <c r="V20" s="60" t="n">
        <f aca="false">SUM(V9:V19)</f>
        <v>7859787.10179599</v>
      </c>
      <c r="W20" s="60" t="n">
        <f aca="false">SUM(W9:W19)</f>
        <v>7541112.70200719</v>
      </c>
      <c r="X20" s="60" t="n">
        <f aca="false">SUM(X9:X19)</f>
        <v>7144214.09368964</v>
      </c>
      <c r="Y20" s="60" t="n">
        <f aca="false">SUM(Y9:Y19)</f>
        <v>6761046.39446872</v>
      </c>
      <c r="Z20" s="60" t="n">
        <f aca="false">SUM(Z9:Z19)</f>
        <v>6521170.24029321</v>
      </c>
      <c r="AA20" s="60" t="n">
        <f aca="false">SUM(AA9:AA19)</f>
        <v>6242338.31519832</v>
      </c>
      <c r="AB20" s="60" t="n">
        <f aca="false">SUM(AB9:AB19)</f>
        <v>5796049.80057864</v>
      </c>
    </row>
    <row r="21" customFormat="false" ht="15" hidden="false" customHeight="false" outlineLevel="0" collapsed="false">
      <c r="A21" s="22" t="s">
        <v>472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row>
    <row r="22" customFormat="false" ht="15" hidden="false" customHeight="false" outlineLevel="0" collapsed="false">
      <c r="A22" s="28" t="s">
        <v>473</v>
      </c>
      <c r="B22" s="62" t="s">
        <v>71</v>
      </c>
      <c r="C22" s="64" t="n">
        <f aca="false">P22</f>
        <v>227828.091947761</v>
      </c>
      <c r="D22" s="64" t="n">
        <f aca="false">AB22</f>
        <v>170279.579810058</v>
      </c>
      <c r="E22" s="65" t="n">
        <f aca="false">Payables!E13</f>
        <v>124224.341824998</v>
      </c>
      <c r="F22" s="65" t="n">
        <f aca="false">Payables!F13</f>
        <v>123051.467478643</v>
      </c>
      <c r="G22" s="65" t="n">
        <f aca="false">Payables!G13</f>
        <v>125624.078560305</v>
      </c>
      <c r="H22" s="65" t="n">
        <f aca="false">Payables!H13</f>
        <v>123397.419906023</v>
      </c>
      <c r="I22" s="65" t="n">
        <f aca="false">Payables!I13</f>
        <v>131314.73485822</v>
      </c>
      <c r="J22" s="65" t="n">
        <f aca="false">Payables!J13</f>
        <v>133425.918207867</v>
      </c>
      <c r="K22" s="65" t="n">
        <f aca="false">Payables!K13</f>
        <v>144443.049837961</v>
      </c>
      <c r="L22" s="65" t="n">
        <f aca="false">Payables!L13</f>
        <v>143904.425084102</v>
      </c>
      <c r="M22" s="65" t="n">
        <f aca="false">Payables!M13</f>
        <v>144467.377437502</v>
      </c>
      <c r="N22" s="65" t="n">
        <f aca="false">Payables!N13</f>
        <v>122894.58992961</v>
      </c>
      <c r="O22" s="65" t="n">
        <f aca="false">Payables!O13</f>
        <v>125549.854011923</v>
      </c>
      <c r="P22" s="65" t="n">
        <f aca="false">Payables!P13</f>
        <v>227828.091947761</v>
      </c>
      <c r="Q22" s="65" t="n">
        <f aca="false">Payables!Q13</f>
        <v>146611.318113077</v>
      </c>
      <c r="R22" s="65" t="n">
        <f aca="false">Payables!R13</f>
        <v>147067.569614253</v>
      </c>
      <c r="S22" s="65" t="n">
        <f aca="false">Payables!S13</f>
        <v>153090.446427517</v>
      </c>
      <c r="T22" s="65" t="n">
        <f aca="false">Payables!T13</f>
        <v>153214.664256939</v>
      </c>
      <c r="U22" s="65" t="n">
        <f aca="false">Payables!U13</f>
        <v>157518.043688229</v>
      </c>
      <c r="V22" s="65" t="n">
        <f aca="false">Payables!V13</f>
        <v>158009.260003153</v>
      </c>
      <c r="W22" s="65" t="n">
        <f aca="false">Payables!W13</f>
        <v>159968.899340933</v>
      </c>
      <c r="X22" s="65" t="n">
        <f aca="false">Payables!X13</f>
        <v>161145.048010578</v>
      </c>
      <c r="Y22" s="65" t="n">
        <f aca="false">Payables!Y13</f>
        <v>162638.40962113</v>
      </c>
      <c r="Z22" s="65" t="n">
        <f aca="false">Payables!Z13</f>
        <v>165860.740034221</v>
      </c>
      <c r="AA22" s="65" t="n">
        <f aca="false">Payables!AA13</f>
        <v>167181.725315759</v>
      </c>
      <c r="AB22" s="65" t="n">
        <f aca="false">Payables!AB13</f>
        <v>170279.579810058</v>
      </c>
    </row>
    <row r="23" customFormat="false" ht="15" hidden="false" customHeight="false" outlineLevel="0" collapsed="false">
      <c r="A23" s="28" t="s">
        <v>474</v>
      </c>
      <c r="B23" s="62" t="s">
        <v>71</v>
      </c>
      <c r="C23" s="64" t="n">
        <f aca="false">P23</f>
        <v>10991.7996637373</v>
      </c>
      <c r="D23" s="64" t="n">
        <f aca="false">AB23</f>
        <v>15377.6486325164</v>
      </c>
      <c r="E23" s="65" t="n">
        <f aca="false">Payables!E18</f>
        <v>8172.87</v>
      </c>
      <c r="F23" s="65" t="n">
        <f aca="false">Payables!F18</f>
        <v>8429.57</v>
      </c>
      <c r="G23" s="65" t="n">
        <f aca="false">Payables!G18</f>
        <v>8033.9</v>
      </c>
      <c r="H23" s="65" t="n">
        <f aca="false">Payables!H18</f>
        <v>8834.88</v>
      </c>
      <c r="I23" s="65" t="n">
        <f aca="false">Payables!I18</f>
        <v>9004.17</v>
      </c>
      <c r="J23" s="65" t="n">
        <f aca="false">Payables!J18</f>
        <v>9240.64</v>
      </c>
      <c r="K23" s="65" t="n">
        <f aca="false">Payables!K18</f>
        <v>9844.35</v>
      </c>
      <c r="L23" s="65" t="n">
        <f aca="false">Payables!L18</f>
        <v>9871.04</v>
      </c>
      <c r="M23" s="65" t="n">
        <f aca="false">Payables!M18</f>
        <v>9998.79700586248</v>
      </c>
      <c r="N23" s="65" t="n">
        <f aca="false">Payables!N18</f>
        <v>10170.8811115552</v>
      </c>
      <c r="O23" s="65" t="n">
        <f aca="false">Payables!O18</f>
        <v>10610.625922148</v>
      </c>
      <c r="P23" s="65" t="n">
        <f aca="false">Payables!P18</f>
        <v>10991.7996637373</v>
      </c>
      <c r="Q23" s="65" t="n">
        <f aca="false">Payables!Q18</f>
        <v>12514.0722463055</v>
      </c>
      <c r="R23" s="65" t="n">
        <f aca="false">Payables!R18</f>
        <v>12861.9534597654</v>
      </c>
      <c r="S23" s="65" t="n">
        <f aca="false">Payables!S18</f>
        <v>13208.3483632183</v>
      </c>
      <c r="T23" s="65" t="n">
        <f aca="false">Payables!T18</f>
        <v>13350.8225394132</v>
      </c>
      <c r="U23" s="65" t="n">
        <f aca="false">Payables!U18</f>
        <v>13776.8785607132</v>
      </c>
      <c r="V23" s="65" t="n">
        <f aca="false">Payables!V18</f>
        <v>13899.4931066002</v>
      </c>
      <c r="W23" s="65" t="n">
        <f aca="false">Payables!W18</f>
        <v>14077.7959226185</v>
      </c>
      <c r="X23" s="65" t="n">
        <f aca="false">Payables!X18</f>
        <v>14239.4198105958</v>
      </c>
      <c r="Y23" s="65" t="n">
        <f aca="false">Payables!Y18</f>
        <v>14583.2671517294</v>
      </c>
      <c r="Z23" s="65" t="n">
        <f aca="false">Payables!Z18</f>
        <v>14845.8698719592</v>
      </c>
      <c r="AA23" s="65" t="n">
        <f aca="false">Payables!AA18</f>
        <v>15106.5440359835</v>
      </c>
      <c r="AB23" s="65" t="n">
        <f aca="false">Payables!AB18</f>
        <v>15377.6486325164</v>
      </c>
    </row>
    <row r="24" customFormat="false" ht="15" hidden="false" customHeight="false" outlineLevel="0" collapsed="false">
      <c r="A24" s="28" t="s">
        <v>475</v>
      </c>
      <c r="B24" s="62" t="s">
        <v>71</v>
      </c>
      <c r="C24" s="64" t="n">
        <f aca="false">P24</f>
        <v>67809.2811249384</v>
      </c>
      <c r="D24" s="64" t="n">
        <f aca="false">AB24</f>
        <v>72389.4716286864</v>
      </c>
      <c r="E24" s="65" t="n">
        <f aca="false">Payables!E22</f>
        <v>70026.06</v>
      </c>
      <c r="F24" s="65" t="n">
        <f aca="false">Payables!F22</f>
        <v>67643.71</v>
      </c>
      <c r="G24" s="65" t="n">
        <f aca="false">Payables!G22</f>
        <v>74176.79</v>
      </c>
      <c r="H24" s="65" t="n">
        <f aca="false">Payables!H22</f>
        <v>69366.35</v>
      </c>
      <c r="I24" s="65" t="n">
        <f aca="false">Payables!I22</f>
        <v>65767.27</v>
      </c>
      <c r="J24" s="65" t="n">
        <f aca="false">Payables!J22</f>
        <v>67888.45</v>
      </c>
      <c r="K24" s="65" t="n">
        <f aca="false">Payables!K22</f>
        <v>67886.13</v>
      </c>
      <c r="L24" s="65" t="n">
        <f aca="false">Payables!L22</f>
        <v>60109.26</v>
      </c>
      <c r="M24" s="65" t="n">
        <f aca="false">Payables!M22</f>
        <v>67287.2</v>
      </c>
      <c r="N24" s="65" t="n">
        <f aca="false">Payables!N22</f>
        <v>73276.6353333334</v>
      </c>
      <c r="O24" s="65" t="n">
        <f aca="false">Payables!O22</f>
        <v>67816.0773061111</v>
      </c>
      <c r="P24" s="65" t="n">
        <f aca="false">Payables!P22</f>
        <v>67809.2811249384</v>
      </c>
      <c r="Q24" s="65" t="n">
        <f aca="false">Payables!Q22</f>
        <v>70730.5053074616</v>
      </c>
      <c r="R24" s="65" t="n">
        <f aca="false">Payables!R22</f>
        <v>70963.3425162343</v>
      </c>
      <c r="S24" s="65" t="n">
        <f aca="false">Payables!S22</f>
        <v>77034.6402146239</v>
      </c>
      <c r="T24" s="65" t="n">
        <f aca="false">Payables!T22</f>
        <v>71678.3689730573</v>
      </c>
      <c r="U24" s="65" t="n">
        <f aca="false">Payables!U22</f>
        <v>71669.4474669856</v>
      </c>
      <c r="V24" s="65" t="n">
        <f aca="false">Payables!V22</f>
        <v>71908.4722466368</v>
      </c>
      <c r="W24" s="65" t="n">
        <f aca="false">Payables!W22</f>
        <v>72152.6456240682</v>
      </c>
      <c r="X24" s="65" t="n">
        <f aca="false">Payables!X22</f>
        <v>64359.0733047542</v>
      </c>
      <c r="Y24" s="65" t="n">
        <f aca="false">Payables!Y22</f>
        <v>72393.4734655675</v>
      </c>
      <c r="Z24" s="65" t="n">
        <f aca="false">Payables!Z22</f>
        <v>78233.9604639906</v>
      </c>
      <c r="AA24" s="65" t="n">
        <f aca="false">Payables!AA22</f>
        <v>72389.4379354873</v>
      </c>
      <c r="AB24" s="65" t="n">
        <f aca="false">Payables!AB22</f>
        <v>72389.4716286864</v>
      </c>
    </row>
    <row r="25" customFormat="false" ht="15" hidden="false" customHeight="false" outlineLevel="0" collapsed="false">
      <c r="A25" s="28" t="s">
        <v>476</v>
      </c>
      <c r="B25" s="62" t="s">
        <v>71</v>
      </c>
      <c r="C25" s="64" t="n">
        <f aca="false">P25</f>
        <v>49632.951</v>
      </c>
      <c r="D25" s="64" t="n">
        <f aca="false">AB25</f>
        <v>52390.3194457723</v>
      </c>
      <c r="E25" s="65" t="n">
        <f aca="false">Payables!E26</f>
        <v>52015.608</v>
      </c>
      <c r="F25" s="65" t="n">
        <f aca="false">Payables!F26</f>
        <v>61985.998</v>
      </c>
      <c r="G25" s="65" t="n">
        <f aca="false">Payables!G26</f>
        <v>95719.894</v>
      </c>
      <c r="H25" s="65" t="n">
        <f aca="false">Payables!H26</f>
        <v>62591.634</v>
      </c>
      <c r="I25" s="65" t="n">
        <f aca="false">Payables!I26</f>
        <v>52805.766</v>
      </c>
      <c r="J25" s="65" t="n">
        <f aca="false">Payables!J26</f>
        <v>79688.204</v>
      </c>
      <c r="K25" s="65" t="n">
        <f aca="false">Payables!K26</f>
        <v>42612.618</v>
      </c>
      <c r="L25" s="65" t="n">
        <f aca="false">Payables!L26</f>
        <v>38627.986</v>
      </c>
      <c r="M25" s="65" t="n">
        <f aca="false">Payables!M26</f>
        <v>40200</v>
      </c>
      <c r="N25" s="65" t="n">
        <f aca="false">Payables!N26</f>
        <v>63960</v>
      </c>
      <c r="O25" s="65" t="n">
        <f aca="false">Payables!O26</f>
        <v>61623.6</v>
      </c>
      <c r="P25" s="65" t="n">
        <f aca="false">Payables!P26</f>
        <v>49632.951</v>
      </c>
      <c r="Q25" s="65" t="n">
        <f aca="false">Payables!Q26</f>
        <v>110071.2223475</v>
      </c>
      <c r="R25" s="65" t="n">
        <f aca="false">Payables!R26</f>
        <v>62749.3619680479</v>
      </c>
      <c r="S25" s="65" t="n">
        <f aca="false">Payables!S26</f>
        <v>86360.7719642928</v>
      </c>
      <c r="T25" s="65" t="n">
        <f aca="false">Payables!T26</f>
        <v>75265.0284712218</v>
      </c>
      <c r="U25" s="65" t="n">
        <f aca="false">Payables!U26</f>
        <v>51695.5172615741</v>
      </c>
      <c r="V25" s="65" t="n">
        <f aca="false">Payables!V26</f>
        <v>89493.7372102949</v>
      </c>
      <c r="W25" s="65" t="n">
        <f aca="false">Payables!W26</f>
        <v>64006.360725521</v>
      </c>
      <c r="X25" s="65" t="n">
        <f aca="false">Payables!X26</f>
        <v>52120.5893149465</v>
      </c>
      <c r="Y25" s="65" t="n">
        <f aca="false">Payables!Y26</f>
        <v>64094.5732300547</v>
      </c>
      <c r="Z25" s="65" t="n">
        <f aca="false">Payables!Z26</f>
        <v>52293.1061988879</v>
      </c>
      <c r="AA25" s="65" t="n">
        <f aca="false">Payables!AA26</f>
        <v>52291.8337566322</v>
      </c>
      <c r="AB25" s="65" t="n">
        <f aca="false">Payables!AB26</f>
        <v>52390.3194457723</v>
      </c>
    </row>
    <row r="26" customFormat="false" ht="15" hidden="false" customHeight="false" outlineLevel="0" collapsed="false">
      <c r="A26" s="28" t="s">
        <v>477</v>
      </c>
      <c r="B26" s="62" t="s">
        <v>51</v>
      </c>
      <c r="C26" s="64" t="n">
        <f aca="false">P26</f>
        <v>364163.980988086</v>
      </c>
      <c r="D26" s="64" t="n">
        <f aca="false">AB26</f>
        <v>341911.026392767</v>
      </c>
      <c r="E26" s="65" t="n">
        <f aca="false">Enterprise!E207</f>
        <v>405068.32</v>
      </c>
      <c r="F26" s="65" t="n">
        <f aca="false">Enterprise!F207</f>
        <v>416887.68</v>
      </c>
      <c r="G26" s="65" t="n">
        <f aca="false">Enterprise!G207</f>
        <v>341790.66</v>
      </c>
      <c r="H26" s="65" t="n">
        <f aca="false">Enterprise!H207</f>
        <v>460931.04</v>
      </c>
      <c r="I26" s="65" t="n">
        <f aca="false">Enterprise!I207</f>
        <v>433279.73</v>
      </c>
      <c r="J26" s="65" t="n">
        <f aca="false">Enterprise!J207</f>
        <v>349007.77</v>
      </c>
      <c r="K26" s="65" t="n">
        <f aca="false">Enterprise!K207</f>
        <v>503048.46</v>
      </c>
      <c r="L26" s="65" t="n">
        <f aca="false">Enterprise!L207</f>
        <v>419326.25</v>
      </c>
      <c r="M26" s="65" t="n">
        <f aca="false">Enterprise!M207</f>
        <v>248434.614237</v>
      </c>
      <c r="N26" s="65" t="n">
        <f aca="false">Enterprise!N207</f>
        <v>426354.189087705</v>
      </c>
      <c r="O26" s="65" t="n">
        <f aca="false">Enterprise!O207</f>
        <v>431522.453404557</v>
      </c>
      <c r="P26" s="65" t="n">
        <f aca="false">Enterprise!P207</f>
        <v>364163.980988086</v>
      </c>
      <c r="Q26" s="65" t="n">
        <f aca="false">Enterprise!Q207</f>
        <v>518427.95346977</v>
      </c>
      <c r="R26" s="65" t="n">
        <f aca="false">Enterprise!R207</f>
        <v>604818.789806373</v>
      </c>
      <c r="S26" s="65" t="n">
        <f aca="false">Enterprise!S207</f>
        <v>389992.016774723</v>
      </c>
      <c r="T26" s="65" t="n">
        <f aca="false">Enterprise!T207</f>
        <v>563778.825788112</v>
      </c>
      <c r="U26" s="65" t="n">
        <f aca="false">Enterprise!U207</f>
        <v>621113.954919672</v>
      </c>
      <c r="V26" s="65" t="n">
        <f aca="false">Enterprise!V207</f>
        <v>451102.423663752</v>
      </c>
      <c r="W26" s="65" t="n">
        <f aca="false">Enterprise!W207</f>
        <v>565541.303045968</v>
      </c>
      <c r="X26" s="65" t="n">
        <f aca="false">Enterprise!X207</f>
        <v>544629.810346209</v>
      </c>
      <c r="Y26" s="65" t="n">
        <f aca="false">Enterprise!Y207</f>
        <v>431238.358977798</v>
      </c>
      <c r="Z26" s="65" t="n">
        <f aca="false">Enterprise!Z207</f>
        <v>471505.132046286</v>
      </c>
      <c r="AA26" s="65" t="n">
        <f aca="false">Enterprise!AA207</f>
        <v>457665.531180904</v>
      </c>
      <c r="AB26" s="65" t="n">
        <f aca="false">Enterprise!AB207</f>
        <v>341911.026392767</v>
      </c>
    </row>
    <row r="27" customFormat="false" ht="15" hidden="false" customHeight="false" outlineLevel="0" collapsed="false">
      <c r="A27" s="28" t="s">
        <v>478</v>
      </c>
      <c r="B27" s="62" t="s">
        <v>46</v>
      </c>
      <c r="C27" s="64" t="n">
        <f aca="false">P27</f>
        <v>306908.848258505</v>
      </c>
      <c r="D27" s="64" t="n">
        <f aca="false">AB27</f>
        <v>435031.367095156</v>
      </c>
      <c r="E27" s="65" t="n">
        <f aca="false">Credits!E56</f>
        <v>210641.794090909</v>
      </c>
      <c r="F27" s="65" t="n">
        <f aca="false">Credits!F56</f>
        <v>219177.995454545</v>
      </c>
      <c r="G27" s="65" t="n">
        <f aca="false">Credits!G56</f>
        <v>229825.611818182</v>
      </c>
      <c r="H27" s="65" t="n">
        <f aca="false">Credits!H56</f>
        <v>231454.414545455</v>
      </c>
      <c r="I27" s="65" t="n">
        <f aca="false">Credits!I56</f>
        <v>238172.315454545</v>
      </c>
      <c r="J27" s="65" t="n">
        <f aca="false">Credits!J56</f>
        <v>242308.539545455</v>
      </c>
      <c r="K27" s="65" t="n">
        <f aca="false">Credits!K56</f>
        <v>247788.683636364</v>
      </c>
      <c r="L27" s="65" t="n">
        <f aca="false">Credits!L56</f>
        <v>248629.680909091</v>
      </c>
      <c r="M27" s="65" t="n">
        <f aca="false">Credits!M56</f>
        <v>265743.722190834</v>
      </c>
      <c r="N27" s="65" t="n">
        <f aca="false">Credits!N56</f>
        <v>282558.706407743</v>
      </c>
      <c r="O27" s="65" t="n">
        <f aca="false">Credits!O56</f>
        <v>294557.481811128</v>
      </c>
      <c r="P27" s="65" t="n">
        <f aca="false">Credits!P56</f>
        <v>306908.848258505</v>
      </c>
      <c r="Q27" s="65" t="n">
        <f aca="false">Credits!Q56</f>
        <v>318367.553219259</v>
      </c>
      <c r="R27" s="65" t="n">
        <f aca="false">Credits!R56</f>
        <v>330266.74446312</v>
      </c>
      <c r="S27" s="65" t="n">
        <f aca="false">Credits!S56</f>
        <v>342165.629813623</v>
      </c>
      <c r="T27" s="65" t="n">
        <f aca="false">Credits!T56</f>
        <v>350851.427687834</v>
      </c>
      <c r="U27" s="65" t="n">
        <f aca="false">Credits!U56</f>
        <v>355348.50294064</v>
      </c>
      <c r="V27" s="65" t="n">
        <f aca="false">Credits!V56</f>
        <v>368821.10701723</v>
      </c>
      <c r="W27" s="65" t="n">
        <f aca="false">Credits!W56</f>
        <v>372514.919664972</v>
      </c>
      <c r="X27" s="65" t="n">
        <f aca="false">Credits!X56</f>
        <v>368336.991284779</v>
      </c>
      <c r="Y27" s="65" t="n">
        <f aca="false">Credits!Y56</f>
        <v>389279.489338261</v>
      </c>
      <c r="Z27" s="65" t="n">
        <f aca="false">Credits!Z56</f>
        <v>409347.860275648</v>
      </c>
      <c r="AA27" s="65" t="n">
        <f aca="false">Credits!AA56</f>
        <v>425122.465885846</v>
      </c>
      <c r="AB27" s="65" t="n">
        <f aca="false">Credits!AB56</f>
        <v>435031.367095156</v>
      </c>
    </row>
    <row r="28" customFormat="false" ht="15" hidden="false" customHeight="false" outlineLevel="0" collapsed="false">
      <c r="A28" s="28" t="s">
        <v>479</v>
      </c>
      <c r="B28" s="62" t="s">
        <v>51</v>
      </c>
      <c r="C28" s="64" t="n">
        <f aca="false">P28</f>
        <v>0</v>
      </c>
      <c r="D28" s="64" t="n">
        <f aca="false">AB28</f>
        <v>0</v>
      </c>
      <c r="E28" s="65" t="n">
        <f aca="false">Enterprise!E212</f>
        <v>0</v>
      </c>
      <c r="F28" s="65" t="n">
        <f aca="false">Enterprise!F212</f>
        <v>0</v>
      </c>
      <c r="G28" s="65" t="n">
        <f aca="false">Enterprise!G212</f>
        <v>0</v>
      </c>
      <c r="H28" s="65" t="n">
        <f aca="false">Enterprise!H212</f>
        <v>0</v>
      </c>
      <c r="I28" s="65" t="n">
        <f aca="false">Enterprise!I212</f>
        <v>0</v>
      </c>
      <c r="J28" s="65" t="n">
        <f aca="false">Enterprise!J212</f>
        <v>0</v>
      </c>
      <c r="K28" s="65" t="n">
        <f aca="false">Enterprise!K212</f>
        <v>0</v>
      </c>
      <c r="L28" s="65" t="n">
        <f aca="false">Enterprise!L212</f>
        <v>4517.8</v>
      </c>
      <c r="M28" s="65" t="n">
        <f aca="false">Enterprise!M212</f>
        <v>4517.8</v>
      </c>
      <c r="N28" s="65" t="n">
        <f aca="false">Enterprise!N212</f>
        <v>0</v>
      </c>
      <c r="O28" s="65" t="n">
        <f aca="false">Enterprise!O212</f>
        <v>0</v>
      </c>
      <c r="P28" s="65" t="n">
        <f aca="false">Enterprise!P212</f>
        <v>0</v>
      </c>
      <c r="Q28" s="65" t="n">
        <f aca="false">Enterprise!Q212</f>
        <v>0</v>
      </c>
      <c r="R28" s="65" t="n">
        <f aca="false">Enterprise!R212</f>
        <v>0</v>
      </c>
      <c r="S28" s="65" t="n">
        <f aca="false">Enterprise!S212</f>
        <v>0</v>
      </c>
      <c r="T28" s="65" t="n">
        <f aca="false">Enterprise!T212</f>
        <v>0</v>
      </c>
      <c r="U28" s="65" t="n">
        <f aca="false">Enterprise!U212</f>
        <v>0</v>
      </c>
      <c r="V28" s="65" t="n">
        <f aca="false">Enterprise!V212</f>
        <v>0</v>
      </c>
      <c r="W28" s="65" t="n">
        <f aca="false">Enterprise!W212</f>
        <v>0</v>
      </c>
      <c r="X28" s="65" t="n">
        <f aca="false">Enterprise!X212</f>
        <v>0</v>
      </c>
      <c r="Y28" s="65" t="n">
        <f aca="false">Enterprise!Y212</f>
        <v>0</v>
      </c>
      <c r="Z28" s="65" t="n">
        <f aca="false">Enterprise!Z212</f>
        <v>0</v>
      </c>
      <c r="AA28" s="65" t="n">
        <f aca="false">Enterprise!AA212</f>
        <v>0</v>
      </c>
      <c r="AB28" s="65" t="n">
        <f aca="false">Enterprise!AB212</f>
        <v>0</v>
      </c>
    </row>
    <row r="29" customFormat="false" ht="15" hidden="false" customHeight="false" outlineLevel="0" collapsed="false">
      <c r="A29" s="28" t="s">
        <v>480</v>
      </c>
      <c r="B29" s="62" t="s">
        <v>73</v>
      </c>
      <c r="C29" s="64" t="n">
        <f aca="false">P29</f>
        <v>40409.9977766103</v>
      </c>
      <c r="D29" s="64" t="n">
        <f aca="false">AB29</f>
        <v>48345.9230451962</v>
      </c>
      <c r="E29" s="65" t="n">
        <f aca="false">VAT!E14</f>
        <v>5032.49296666667</v>
      </c>
      <c r="F29" s="65" t="n">
        <f aca="false">VAT!F14</f>
        <v>29880.5496</v>
      </c>
      <c r="G29" s="65" t="n">
        <f aca="false">VAT!G14</f>
        <v>24527.8641666667</v>
      </c>
      <c r="H29" s="65" t="n">
        <f aca="false">VAT!H14</f>
        <v>-756.467733333324</v>
      </c>
      <c r="I29" s="65" t="n">
        <f aca="false">VAT!I14</f>
        <v>32840.4383333333</v>
      </c>
      <c r="J29" s="65" t="n">
        <f aca="false">VAT!J14</f>
        <v>35412.8709333333</v>
      </c>
      <c r="K29" s="65" t="n">
        <f aca="false">VAT!K14</f>
        <v>4281.62246666668</v>
      </c>
      <c r="L29" s="65" t="n">
        <f aca="false">VAT!L14</f>
        <v>38769.3256333333</v>
      </c>
      <c r="M29" s="65" t="n">
        <f aca="false">VAT!M14</f>
        <v>39723.8988884853</v>
      </c>
      <c r="N29" s="65" t="n">
        <f aca="false">VAT!N14</f>
        <v>14685.1253764641</v>
      </c>
      <c r="O29" s="65" t="n">
        <f aca="false">VAT!O14</f>
        <v>37739.2132308419</v>
      </c>
      <c r="P29" s="65" t="n">
        <f aca="false">VAT!P14</f>
        <v>40409.9977766103</v>
      </c>
      <c r="Q29" s="65" t="n">
        <f aca="false">VAT!Q14</f>
        <v>18797.5204708302</v>
      </c>
      <c r="R29" s="65" t="n">
        <f aca="false">VAT!R14</f>
        <v>31744.6169716078</v>
      </c>
      <c r="S29" s="65" t="n">
        <f aca="false">VAT!S14</f>
        <v>42543.3570571651</v>
      </c>
      <c r="T29" s="65" t="n">
        <f aca="false">VAT!T14</f>
        <v>17046.9411367504</v>
      </c>
      <c r="U29" s="65" t="n">
        <f aca="false">VAT!U14</f>
        <v>48012.3653547521</v>
      </c>
      <c r="V29" s="65" t="n">
        <f aca="false">VAT!V14</f>
        <v>55270.0495621072</v>
      </c>
      <c r="W29" s="65" t="n">
        <f aca="false">VAT!W14</f>
        <v>22335.4065589683</v>
      </c>
      <c r="X29" s="65" t="n">
        <f aca="false">VAT!X14</f>
        <v>43296.8580407252</v>
      </c>
      <c r="Y29" s="65" t="n">
        <f aca="false">VAT!Y14</f>
        <v>47301.8129247223</v>
      </c>
      <c r="Z29" s="65" t="n">
        <f aca="false">VAT!Z14</f>
        <v>22777.1426032231</v>
      </c>
      <c r="AA29" s="65" t="n">
        <f aca="false">VAT!AA14</f>
        <v>48916.6852019331</v>
      </c>
      <c r="AB29" s="65" t="n">
        <f aca="false">VAT!AB14</f>
        <v>48345.9230451962</v>
      </c>
    </row>
    <row r="30" customFormat="false" ht="15" hidden="false" customHeight="false" outlineLevel="0" collapsed="false">
      <c r="A30" s="28" t="s">
        <v>481</v>
      </c>
      <c r="B30" s="62" t="s">
        <v>65</v>
      </c>
      <c r="C30" s="64" t="n">
        <f aca="false">P30</f>
        <v>31933.3333333333</v>
      </c>
      <c r="D30" s="64" t="n">
        <f aca="false">AB30</f>
        <v>35880</v>
      </c>
      <c r="E30" s="65" t="n">
        <f aca="false">Receivables!E22</f>
        <v>23666.6666666667</v>
      </c>
      <c r="F30" s="65" t="n">
        <f aca="false">Receivables!F22</f>
        <v>17500</v>
      </c>
      <c r="G30" s="65" t="n">
        <f aca="false">Receivables!G22</f>
        <v>23833.3333333333</v>
      </c>
      <c r="H30" s="65" t="n">
        <f aca="false">Receivables!H22</f>
        <v>35666.6666666667</v>
      </c>
      <c r="I30" s="65" t="n">
        <f aca="false">Receivables!I22</f>
        <v>28511.868</v>
      </c>
      <c r="J30" s="65" t="n">
        <f aca="false">Receivables!J22</f>
        <v>28345.2013333333</v>
      </c>
      <c r="K30" s="65" t="n">
        <f aca="false">Receivables!K22</f>
        <v>40678.5346666667</v>
      </c>
      <c r="L30" s="65" t="n">
        <f aca="false">Receivables!L22</f>
        <v>29178.5346666667</v>
      </c>
      <c r="M30" s="65" t="n">
        <f aca="false">Receivables!M22</f>
        <v>28345.2016666667</v>
      </c>
      <c r="N30" s="65" t="n">
        <f aca="false">Receivables!N22</f>
        <v>37666.6666666667</v>
      </c>
      <c r="O30" s="65" t="n">
        <f aca="false">Receivables!O22</f>
        <v>36066.6666666667</v>
      </c>
      <c r="P30" s="65" t="n">
        <f aca="false">Receivables!P22</f>
        <v>31933.3333333333</v>
      </c>
      <c r="Q30" s="65" t="n">
        <f aca="false">Receivables!Q22</f>
        <v>37666.6666666667</v>
      </c>
      <c r="R30" s="65" t="n">
        <f aca="false">Receivables!R22</f>
        <v>36226.6666666667</v>
      </c>
      <c r="S30" s="65" t="n">
        <f aca="false">Receivables!S22</f>
        <v>40944.5688723647</v>
      </c>
      <c r="T30" s="65" t="n">
        <f aca="false">Receivables!T22</f>
        <v>53143.2431981018</v>
      </c>
      <c r="U30" s="65" t="n">
        <f aca="false">Receivables!U22</f>
        <v>52377.7598122169</v>
      </c>
      <c r="V30" s="65" t="n">
        <f aca="false">Receivables!V22</f>
        <v>42567.3077489482</v>
      </c>
      <c r="W30" s="65" t="n">
        <f aca="false">Receivables!W22</f>
        <v>40173.3333333333</v>
      </c>
      <c r="X30" s="65" t="n">
        <f aca="false">Receivables!X22</f>
        <v>36120</v>
      </c>
      <c r="Y30" s="65" t="n">
        <f aca="false">Receivables!Y22</f>
        <v>36040</v>
      </c>
      <c r="Z30" s="65" t="n">
        <f aca="false">Receivables!Z22</f>
        <v>40173.3333333333</v>
      </c>
      <c r="AA30" s="65" t="n">
        <f aca="false">Receivables!AA22</f>
        <v>35880</v>
      </c>
      <c r="AB30" s="65" t="n">
        <f aca="false">Receivables!AB22</f>
        <v>35880</v>
      </c>
    </row>
    <row r="31" customFormat="false" ht="15" hidden="false" customHeight="false" outlineLevel="0" collapsed="false">
      <c r="A31" s="28" t="s">
        <v>482</v>
      </c>
      <c r="B31" s="62" t="s">
        <v>61</v>
      </c>
      <c r="C31" s="64" t="n">
        <f aca="false">P31</f>
        <v>249341.301341701</v>
      </c>
      <c r="D31" s="64" t="n">
        <f aca="false">AB31</f>
        <v>289825.966859892</v>
      </c>
      <c r="E31" s="65" t="n">
        <f aca="false">People!E242</f>
        <v>219057.13</v>
      </c>
      <c r="F31" s="65" t="n">
        <f aca="false">People!F242</f>
        <v>226130.17</v>
      </c>
      <c r="G31" s="65" t="n">
        <f aca="false">People!G242</f>
        <v>245947.1025</v>
      </c>
      <c r="H31" s="65" t="n">
        <f aca="false">People!H242</f>
        <v>239469.3725</v>
      </c>
      <c r="I31" s="65" t="n">
        <f aca="false">People!I242</f>
        <v>254250.7275</v>
      </c>
      <c r="J31" s="65" t="n">
        <f aca="false">People!J242</f>
        <v>241473.5475</v>
      </c>
      <c r="K31" s="65" t="n">
        <f aca="false">People!K242</f>
        <v>252464.91</v>
      </c>
      <c r="L31" s="65" t="n">
        <f aca="false">People!L242</f>
        <v>250288.55</v>
      </c>
      <c r="M31" s="65" t="n">
        <f aca="false">People!M242</f>
        <v>237866.303901732</v>
      </c>
      <c r="N31" s="65" t="n">
        <f aca="false">People!N242</f>
        <v>242662.745709719</v>
      </c>
      <c r="O31" s="65" t="n">
        <f aca="false">People!O242</f>
        <v>250832.343052491</v>
      </c>
      <c r="P31" s="65" t="n">
        <f aca="false">People!P242</f>
        <v>249341.301341701</v>
      </c>
      <c r="Q31" s="65" t="n">
        <f aca="false">People!Q242</f>
        <v>266326.426397036</v>
      </c>
      <c r="R31" s="65" t="n">
        <f aca="false">People!R242</f>
        <v>265757.282651084</v>
      </c>
      <c r="S31" s="65" t="n">
        <f aca="false">People!S242</f>
        <v>286238.359028073</v>
      </c>
      <c r="T31" s="65" t="n">
        <f aca="false">People!T242</f>
        <v>275075.725519861</v>
      </c>
      <c r="U31" s="65" t="n">
        <f aca="false">People!U242</f>
        <v>288134.743385046</v>
      </c>
      <c r="V31" s="65" t="n">
        <f aca="false">People!V242</f>
        <v>279143.69064124</v>
      </c>
      <c r="W31" s="65" t="n">
        <f aca="false">People!W242</f>
        <v>292461.02146857</v>
      </c>
      <c r="X31" s="65" t="n">
        <f aca="false">People!X242</f>
        <v>291584.156005281</v>
      </c>
      <c r="Y31" s="65" t="n">
        <f aca="false">People!Y242</f>
        <v>284902.569433469</v>
      </c>
      <c r="Z31" s="65" t="n">
        <f aca="false">People!Z242</f>
        <v>286425.98229214</v>
      </c>
      <c r="AA31" s="65" t="n">
        <f aca="false">People!AA242</f>
        <v>291352.051595788</v>
      </c>
      <c r="AB31" s="65" t="n">
        <f aca="false">People!AB242</f>
        <v>289825.966859892</v>
      </c>
    </row>
    <row r="32" customFormat="false" ht="15" hidden="false" customHeight="false" outlineLevel="0" collapsed="false">
      <c r="A32" s="28" t="s">
        <v>483</v>
      </c>
      <c r="B32" s="62" t="s">
        <v>61</v>
      </c>
      <c r="C32" s="64" t="n">
        <f aca="false">P32</f>
        <v>49510.7703155722</v>
      </c>
      <c r="D32" s="64" t="n">
        <f aca="false">AB32</f>
        <v>56754.4656830146</v>
      </c>
      <c r="E32" s="65" t="n">
        <f aca="false">People!E245</f>
        <v>43544.32</v>
      </c>
      <c r="F32" s="65" t="n">
        <f aca="false">People!F245</f>
        <v>45112.36</v>
      </c>
      <c r="G32" s="65" t="n">
        <f aca="false">People!G245</f>
        <v>49245.9852</v>
      </c>
      <c r="H32" s="65" t="n">
        <f aca="false">People!H245</f>
        <v>47195.7952</v>
      </c>
      <c r="I32" s="65" t="n">
        <f aca="false">People!I245</f>
        <v>50719.3776</v>
      </c>
      <c r="J32" s="65" t="n">
        <f aca="false">People!J245</f>
        <v>47540.2576</v>
      </c>
      <c r="K32" s="65" t="n">
        <f aca="false">People!K245</f>
        <v>50425.2828</v>
      </c>
      <c r="L32" s="65" t="n">
        <f aca="false">People!L245</f>
        <v>50082.254</v>
      </c>
      <c r="M32" s="65" t="n">
        <f aca="false">People!M245</f>
        <v>47171.6485325597</v>
      </c>
      <c r="N32" s="65" t="n">
        <f aca="false">People!N245</f>
        <v>48037.8305226273</v>
      </c>
      <c r="O32" s="65" t="n">
        <f aca="false">People!O245</f>
        <v>49867.1373556515</v>
      </c>
      <c r="P32" s="65" t="n">
        <f aca="false">People!P245</f>
        <v>49510.7703155722</v>
      </c>
      <c r="Q32" s="65" t="n">
        <f aca="false">People!Q245</f>
        <v>52547.1443520976</v>
      </c>
      <c r="R32" s="65" t="n">
        <f aca="false">People!R245</f>
        <v>52165.4496766882</v>
      </c>
      <c r="S32" s="65" t="n">
        <f aca="false">People!S245</f>
        <v>56992.9139111526</v>
      </c>
      <c r="T32" s="65" t="n">
        <f aca="false">People!T245</f>
        <v>53777.6300076107</v>
      </c>
      <c r="U32" s="65" t="n">
        <f aca="false">People!U245</f>
        <v>56956.9909188829</v>
      </c>
      <c r="V32" s="65" t="n">
        <f aca="false">People!V245</f>
        <v>54572.5269452202</v>
      </c>
      <c r="W32" s="65" t="n">
        <f aca="false">People!W245</f>
        <v>57545.7279740335</v>
      </c>
      <c r="X32" s="65" t="n">
        <f aca="false">People!X245</f>
        <v>57336.178868422</v>
      </c>
      <c r="Y32" s="65" t="n">
        <f aca="false">People!Y245</f>
        <v>55556.4213497044</v>
      </c>
      <c r="Z32" s="65" t="n">
        <f aca="false">People!Z245</f>
        <v>55927.6180358496</v>
      </c>
      <c r="AA32" s="65" t="n">
        <f aca="false">People!AA245</f>
        <v>57125.0429924967</v>
      </c>
      <c r="AB32" s="65" t="n">
        <f aca="false">People!AB245</f>
        <v>56754.4656830146</v>
      </c>
    </row>
    <row r="33" customFormat="false" ht="15" hidden="false" customHeight="false" outlineLevel="0" collapsed="false">
      <c r="A33" s="28" t="s">
        <v>484</v>
      </c>
      <c r="B33" s="62" t="s">
        <v>61</v>
      </c>
      <c r="C33" s="64" t="n">
        <f aca="false">P33</f>
        <v>87542.0197927471</v>
      </c>
      <c r="D33" s="64" t="n">
        <f aca="false">AB33</f>
        <v>101256.109706536</v>
      </c>
      <c r="E33" s="65" t="n">
        <f aca="false">People!E248</f>
        <v>75173.11</v>
      </c>
      <c r="F33" s="65" t="n">
        <f aca="false">People!F248</f>
        <v>77939.69</v>
      </c>
      <c r="G33" s="65" t="n">
        <f aca="false">People!G248</f>
        <v>87441.15</v>
      </c>
      <c r="H33" s="65" t="n">
        <f aca="false">People!H248</f>
        <v>81918.61</v>
      </c>
      <c r="I33" s="65" t="n">
        <f aca="false">People!I248</f>
        <v>90697.6899999999</v>
      </c>
      <c r="J33" s="65" t="n">
        <f aca="false">People!J248</f>
        <v>82524.4599999999</v>
      </c>
      <c r="K33" s="65" t="n">
        <f aca="false">People!K248</f>
        <v>89698.0399999999</v>
      </c>
      <c r="L33" s="65" t="n">
        <f aca="false">People!L248</f>
        <v>89269.9099999999</v>
      </c>
      <c r="M33" s="65" t="n">
        <f aca="false">People!M248</f>
        <v>82399.7543644444</v>
      </c>
      <c r="N33" s="65" t="n">
        <f aca="false">People!N248</f>
        <v>84331.1519792162</v>
      </c>
      <c r="O33" s="65" t="n">
        <f aca="false">People!O248</f>
        <v>88416.4370296205</v>
      </c>
      <c r="P33" s="65" t="n">
        <f aca="false">People!P248</f>
        <v>87542.0197927471</v>
      </c>
      <c r="Q33" s="65" t="n">
        <f aca="false">People!Q248</f>
        <v>92315.4416516548</v>
      </c>
      <c r="R33" s="65" t="n">
        <f aca="false">People!R248</f>
        <v>91238.9334316711</v>
      </c>
      <c r="S33" s="65" t="n">
        <f aca="false">People!S248</f>
        <v>102773.89292901</v>
      </c>
      <c r="T33" s="65" t="n">
        <f aca="false">People!T248</f>
        <v>94754.3317159061</v>
      </c>
      <c r="U33" s="65" t="n">
        <f aca="false">People!U248</f>
        <v>102639.53823502</v>
      </c>
      <c r="V33" s="65" t="n">
        <f aca="false">People!V248</f>
        <v>96395.9312388083</v>
      </c>
      <c r="W33" s="65" t="n">
        <f aca="false">People!W248</f>
        <v>103661.674248824</v>
      </c>
      <c r="X33" s="65" t="n">
        <f aca="false">People!X248</f>
        <v>103145.694192285</v>
      </c>
      <c r="Y33" s="65" t="n">
        <f aca="false">People!Y248</f>
        <v>98278.8435548538</v>
      </c>
      <c r="Z33" s="65" t="n">
        <f aca="false">People!Z248</f>
        <v>99202.7590996312</v>
      </c>
      <c r="AA33" s="65" t="n">
        <f aca="false">People!AA248</f>
        <v>102174.787053469</v>
      </c>
      <c r="AB33" s="65" t="n">
        <f aca="false">People!AB248</f>
        <v>101256.109706536</v>
      </c>
    </row>
    <row r="34" customFormat="false" ht="15" hidden="false" customHeight="false" outlineLevel="0" collapsed="false">
      <c r="A34" s="28" t="s">
        <v>485</v>
      </c>
      <c r="B34" s="62" t="s">
        <v>61</v>
      </c>
      <c r="C34" s="64" t="n">
        <f aca="false">P34</f>
        <v>7200</v>
      </c>
      <c r="D34" s="64" t="n">
        <f aca="false">AB34</f>
        <v>7176</v>
      </c>
      <c r="E34" s="65" t="n">
        <f aca="false">People!E237</f>
        <v>0</v>
      </c>
      <c r="F34" s="65" t="n">
        <f aca="false">People!F237</f>
        <v>30600</v>
      </c>
      <c r="G34" s="65" t="n">
        <f aca="false">People!G237</f>
        <v>0</v>
      </c>
      <c r="H34" s="65" t="n">
        <f aca="false">People!H237</f>
        <v>37200</v>
      </c>
      <c r="I34" s="65" t="n">
        <f aca="false">People!I237</f>
        <v>0</v>
      </c>
      <c r="J34" s="65" t="n">
        <f aca="false">People!J237</f>
        <v>30600</v>
      </c>
      <c r="K34" s="65" t="n">
        <f aca="false">People!K237</f>
        <v>33600</v>
      </c>
      <c r="L34" s="65" t="n">
        <f aca="false">People!L237</f>
        <v>9000</v>
      </c>
      <c r="M34" s="65" t="n">
        <f aca="false">People!M237</f>
        <v>12960</v>
      </c>
      <c r="N34" s="65" t="n">
        <f aca="false">People!N237</f>
        <v>25032</v>
      </c>
      <c r="O34" s="65" t="n">
        <f aca="false">People!O237</f>
        <v>21600</v>
      </c>
      <c r="P34" s="65" t="n">
        <f aca="false">People!P237</f>
        <v>7200</v>
      </c>
      <c r="Q34" s="65" t="n">
        <f aca="false">People!Q237</f>
        <v>0</v>
      </c>
      <c r="R34" s="65" t="n">
        <f aca="false">People!R237</f>
        <v>42192</v>
      </c>
      <c r="S34" s="65" t="n">
        <f aca="false">People!S237</f>
        <v>5400</v>
      </c>
      <c r="T34" s="65" t="n">
        <f aca="false">People!T237</f>
        <v>37422</v>
      </c>
      <c r="U34" s="65" t="n">
        <f aca="false">People!U237</f>
        <v>8100</v>
      </c>
      <c r="V34" s="65" t="n">
        <f aca="false">People!V237</f>
        <v>35160</v>
      </c>
      <c r="W34" s="65" t="n">
        <f aca="false">People!W237</f>
        <v>33120</v>
      </c>
      <c r="X34" s="65" t="n">
        <f aca="false">People!X237</f>
        <v>8640</v>
      </c>
      <c r="Y34" s="65" t="n">
        <f aca="false">People!Y237</f>
        <v>12420</v>
      </c>
      <c r="Z34" s="65" t="n">
        <f aca="false">People!Z237</f>
        <v>24492</v>
      </c>
      <c r="AA34" s="65" t="n">
        <f aca="false">People!AA237</f>
        <v>20772</v>
      </c>
      <c r="AB34" s="65" t="n">
        <f aca="false">People!AB237</f>
        <v>7176</v>
      </c>
    </row>
    <row r="35" customFormat="false" ht="15" hidden="false" customHeight="false" outlineLevel="0" collapsed="false">
      <c r="A35" s="28" t="s">
        <v>486</v>
      </c>
      <c r="B35" s="62" t="s">
        <v>61</v>
      </c>
      <c r="C35" s="64" t="n">
        <f aca="false">P35</f>
        <v>3306.384</v>
      </c>
      <c r="D35" s="64" t="n">
        <f aca="false">AB35</f>
        <v>3295.36272</v>
      </c>
      <c r="E35" s="65" t="n">
        <f aca="false">People!E238</f>
        <v>0</v>
      </c>
      <c r="F35" s="65" t="n">
        <f aca="false">People!F238</f>
        <v>14052.132</v>
      </c>
      <c r="G35" s="65" t="n">
        <f aca="false">People!G238</f>
        <v>0</v>
      </c>
      <c r="H35" s="65" t="n">
        <f aca="false">People!H238</f>
        <v>17082.984</v>
      </c>
      <c r="I35" s="65" t="n">
        <f aca="false">People!I238</f>
        <v>0</v>
      </c>
      <c r="J35" s="65" t="n">
        <f aca="false">People!J238</f>
        <v>14052.132</v>
      </c>
      <c r="K35" s="65" t="n">
        <f aca="false">People!K238</f>
        <v>15429.792</v>
      </c>
      <c r="L35" s="65" t="n">
        <f aca="false">People!L238</f>
        <v>4132.98</v>
      </c>
      <c r="M35" s="65" t="n">
        <f aca="false">People!M238</f>
        <v>5951.4912</v>
      </c>
      <c r="N35" s="65" t="n">
        <f aca="false">People!N238</f>
        <v>11495.19504</v>
      </c>
      <c r="O35" s="65" t="n">
        <f aca="false">People!O238</f>
        <v>9919.152</v>
      </c>
      <c r="P35" s="65" t="n">
        <f aca="false">People!P238</f>
        <v>3306.384</v>
      </c>
      <c r="Q35" s="65" t="n">
        <f aca="false">People!Q238</f>
        <v>0</v>
      </c>
      <c r="R35" s="65" t="n">
        <f aca="false">People!R238</f>
        <v>19375.41024</v>
      </c>
      <c r="S35" s="65" t="n">
        <f aca="false">People!S238</f>
        <v>2479.788</v>
      </c>
      <c r="T35" s="65" t="n">
        <f aca="false">People!T238</f>
        <v>17184.93084</v>
      </c>
      <c r="U35" s="65" t="n">
        <f aca="false">People!U238</f>
        <v>3719.682</v>
      </c>
      <c r="V35" s="65" t="n">
        <f aca="false">People!V238</f>
        <v>16146.1752</v>
      </c>
      <c r="W35" s="65" t="n">
        <f aca="false">People!W238</f>
        <v>15209.3664</v>
      </c>
      <c r="X35" s="65" t="n">
        <f aca="false">People!X238</f>
        <v>3967.6608</v>
      </c>
      <c r="Y35" s="65" t="n">
        <f aca="false">People!Y238</f>
        <v>5703.5124</v>
      </c>
      <c r="Z35" s="65" t="n">
        <f aca="false">People!Z238</f>
        <v>11247.21624</v>
      </c>
      <c r="AA35" s="65" t="n">
        <f aca="false">People!AA238</f>
        <v>9538.91784</v>
      </c>
      <c r="AB35" s="65" t="n">
        <f aca="false">People!AB238</f>
        <v>3295.36272</v>
      </c>
    </row>
    <row r="36" customFormat="false" ht="15" hidden="false" customHeight="false" outlineLevel="0" collapsed="false">
      <c r="A36" s="28" t="s">
        <v>487</v>
      </c>
      <c r="B36" s="62" t="s">
        <v>61</v>
      </c>
      <c r="C36" s="64" t="n">
        <f aca="false">P36</f>
        <v>256293.492791535</v>
      </c>
      <c r="D36" s="64" t="n">
        <f aca="false">AB36</f>
        <v>257503.856944574</v>
      </c>
      <c r="E36" s="65" t="n">
        <f aca="false">People!E217</f>
        <v>305201.86292943</v>
      </c>
      <c r="F36" s="65" t="n">
        <f aca="false">People!F217</f>
        <v>308480.979681524</v>
      </c>
      <c r="G36" s="65" t="n">
        <f aca="false">People!G217</f>
        <v>341114.028097094</v>
      </c>
      <c r="H36" s="65" t="n">
        <f aca="false">People!H217</f>
        <v>341166.357401426</v>
      </c>
      <c r="I36" s="65" t="n">
        <f aca="false">People!I217</f>
        <v>333463.354650764</v>
      </c>
      <c r="J36" s="65" t="n">
        <f aca="false">People!J217</f>
        <v>356300.718803631</v>
      </c>
      <c r="K36" s="65" t="n">
        <f aca="false">People!K217</f>
        <v>305227.028842013</v>
      </c>
      <c r="L36" s="65" t="n">
        <f aca="false">People!L217</f>
        <v>135450.60246076</v>
      </c>
      <c r="M36" s="65" t="n">
        <f aca="false">People!M217</f>
        <v>176924.566040522</v>
      </c>
      <c r="N36" s="65" t="n">
        <f aca="false">People!N217</f>
        <v>202785.299076757</v>
      </c>
      <c r="O36" s="65" t="n">
        <f aca="false">People!O217</f>
        <v>245614.104988462</v>
      </c>
      <c r="P36" s="65" t="n">
        <f aca="false">People!P217</f>
        <v>256293.492791535</v>
      </c>
      <c r="Q36" s="65" t="n">
        <f aca="false">People!Q217</f>
        <v>302282.399389407</v>
      </c>
      <c r="R36" s="65" t="n">
        <f aca="false">People!R217</f>
        <v>304455.561724439</v>
      </c>
      <c r="S36" s="65" t="n">
        <f aca="false">People!S217</f>
        <v>343559.395523566</v>
      </c>
      <c r="T36" s="65" t="n">
        <f aca="false">People!T217</f>
        <v>343525.020327179</v>
      </c>
      <c r="U36" s="65" t="n">
        <f aca="false">People!U217</f>
        <v>337511.43188703</v>
      </c>
      <c r="V36" s="65" t="n">
        <f aca="false">People!V217</f>
        <v>368054.419464585</v>
      </c>
      <c r="W36" s="65" t="n">
        <f aca="false">People!W217</f>
        <v>295774.964915535</v>
      </c>
      <c r="X36" s="65" t="n">
        <f aca="false">People!X217</f>
        <v>113825.781328352</v>
      </c>
      <c r="Y36" s="65" t="n">
        <f aca="false">People!Y217</f>
        <v>163879.42130497</v>
      </c>
      <c r="Z36" s="65" t="n">
        <f aca="false">People!Z217</f>
        <v>195089.238406578</v>
      </c>
      <c r="AA36" s="65" t="n">
        <f aca="false">People!AA217</f>
        <v>245020.581866261</v>
      </c>
      <c r="AB36" s="65" t="n">
        <f aca="false">People!AB217</f>
        <v>257503.856944574</v>
      </c>
    </row>
    <row r="37" customFormat="false" ht="15" hidden="false" customHeight="false" outlineLevel="0" collapsed="false">
      <c r="A37" s="28" t="s">
        <v>488</v>
      </c>
      <c r="B37" s="62" t="s">
        <v>77</v>
      </c>
      <c r="C37" s="64" t="n">
        <f aca="false">P37</f>
        <v>200</v>
      </c>
      <c r="D37" s="64" t="n">
        <f aca="false">AB37</f>
        <v>400.000000000001</v>
      </c>
      <c r="E37" s="65" t="n">
        <f aca="false">Overheads!E25</f>
        <v>1900</v>
      </c>
      <c r="F37" s="65" t="n">
        <f aca="false">Overheads!F25</f>
        <v>3300</v>
      </c>
      <c r="G37" s="65" t="n">
        <f aca="false">Overheads!G25</f>
        <v>4700</v>
      </c>
      <c r="H37" s="65" t="n">
        <f aca="false">Overheads!H25</f>
        <v>6100</v>
      </c>
      <c r="I37" s="65" t="n">
        <f aca="false">Overheads!I25</f>
        <v>7000</v>
      </c>
      <c r="J37" s="65" t="n">
        <f aca="false">Overheads!J25</f>
        <v>350</v>
      </c>
      <c r="K37" s="65" t="n">
        <f aca="false">Overheads!K25</f>
        <v>1750</v>
      </c>
      <c r="L37" s="65" t="n">
        <f aca="false">Overheads!L25</f>
        <v>3150</v>
      </c>
      <c r="M37" s="65" t="n">
        <f aca="false">Overheads!M25</f>
        <v>2700</v>
      </c>
      <c r="N37" s="65" t="n">
        <f aca="false">Overheads!N25</f>
        <v>4100</v>
      </c>
      <c r="O37" s="65" t="n">
        <f aca="false">Overheads!O25</f>
        <v>5500</v>
      </c>
      <c r="P37" s="65" t="n">
        <f aca="false">Overheads!P25</f>
        <v>200</v>
      </c>
      <c r="Q37" s="65" t="n">
        <f aca="false">Overheads!Q25</f>
        <v>1666.66666666667</v>
      </c>
      <c r="R37" s="65" t="n">
        <f aca="false">Overheads!R25</f>
        <v>3133.33333333333</v>
      </c>
      <c r="S37" s="65" t="n">
        <f aca="false">Overheads!S25</f>
        <v>4600</v>
      </c>
      <c r="T37" s="65" t="n">
        <f aca="false">Overheads!T25</f>
        <v>6066.66666666667</v>
      </c>
      <c r="U37" s="65" t="n">
        <f aca="false">Overheads!U25</f>
        <v>7333.33333333333</v>
      </c>
      <c r="V37" s="65" t="n">
        <f aca="false">Overheads!V25</f>
        <v>400</v>
      </c>
      <c r="W37" s="65" t="n">
        <f aca="false">Overheads!W25</f>
        <v>1866.66666666667</v>
      </c>
      <c r="X37" s="65" t="n">
        <f aca="false">Overheads!X25</f>
        <v>3333.33333333333</v>
      </c>
      <c r="Y37" s="65" t="n">
        <f aca="false">Overheads!Y25</f>
        <v>2850</v>
      </c>
      <c r="Z37" s="65" t="n">
        <f aca="false">Overheads!Z25</f>
        <v>4316.66666666667</v>
      </c>
      <c r="AA37" s="65" t="n">
        <f aca="false">Overheads!AA25</f>
        <v>5783.33333333333</v>
      </c>
      <c r="AB37" s="65" t="n">
        <f aca="false">Overheads!AB25</f>
        <v>400.000000000001</v>
      </c>
    </row>
    <row r="38" customFormat="false" ht="15" hidden="false" customHeight="false" outlineLevel="0" collapsed="false">
      <c r="A38" s="28" t="s">
        <v>489</v>
      </c>
      <c r="B38" s="62" t="s">
        <v>55</v>
      </c>
      <c r="C38" s="64" t="n">
        <f aca="false">P38</f>
        <v>0</v>
      </c>
      <c r="D38" s="64" t="n">
        <f aca="false">AB38</f>
        <v>0</v>
      </c>
      <c r="E38" s="65" t="n">
        <f aca="false">Commitments!E17</f>
        <v>0</v>
      </c>
      <c r="F38" s="65" t="n">
        <f aca="false">Commitments!F17</f>
        <v>0</v>
      </c>
      <c r="G38" s="65" t="n">
        <f aca="false">Commitments!G17</f>
        <v>0</v>
      </c>
      <c r="H38" s="65" t="n">
        <f aca="false">Commitments!H17</f>
        <v>0</v>
      </c>
      <c r="I38" s="65" t="n">
        <f aca="false">Commitments!I17</f>
        <v>0</v>
      </c>
      <c r="J38" s="65" t="n">
        <f aca="false">Commitments!J17</f>
        <v>47755.4918815664</v>
      </c>
      <c r="K38" s="65" t="n">
        <f aca="false">Commitments!K17</f>
        <v>70070.9468336691</v>
      </c>
      <c r="L38" s="65" t="n">
        <f aca="false">Commitments!L17</f>
        <v>97903.9075304063</v>
      </c>
      <c r="M38" s="65" t="n">
        <f aca="false">Commitments!M17</f>
        <v>99021.9466393482</v>
      </c>
      <c r="N38" s="65" t="n">
        <f aca="false">Commitments!N17</f>
        <v>99021.9466393482</v>
      </c>
      <c r="O38" s="65" t="n">
        <f aca="false">Commitments!O17</f>
        <v>99021.9466393482</v>
      </c>
      <c r="P38" s="65" t="n">
        <f aca="false">Commitments!P17</f>
        <v>0</v>
      </c>
      <c r="Q38" s="65" t="n">
        <f aca="false">Commitments!Q17</f>
        <v>0</v>
      </c>
      <c r="R38" s="65" t="n">
        <f aca="false">Commitments!R17</f>
        <v>0</v>
      </c>
      <c r="S38" s="65" t="n">
        <f aca="false">Commitments!S17</f>
        <v>0</v>
      </c>
      <c r="T38" s="65" t="n">
        <f aca="false">Commitments!T17</f>
        <v>0</v>
      </c>
      <c r="U38" s="65" t="n">
        <f aca="false">Commitments!U17</f>
        <v>0</v>
      </c>
      <c r="V38" s="65" t="n">
        <f aca="false">Commitments!V17</f>
        <v>0</v>
      </c>
      <c r="W38" s="65" t="n">
        <f aca="false">Commitments!W17</f>
        <v>0</v>
      </c>
      <c r="X38" s="65" t="n">
        <f aca="false">Commitments!X17</f>
        <v>0</v>
      </c>
      <c r="Y38" s="65" t="n">
        <f aca="false">Commitments!Y17</f>
        <v>0</v>
      </c>
      <c r="Z38" s="65" t="n">
        <f aca="false">Commitments!Z17</f>
        <v>0</v>
      </c>
      <c r="AA38" s="65" t="n">
        <f aca="false">Commitments!AA17</f>
        <v>0</v>
      </c>
      <c r="AB38" s="65" t="n">
        <f aca="false">Commitments!AB17</f>
        <v>0</v>
      </c>
    </row>
    <row r="39" customFormat="false" ht="15" hidden="false" customHeight="false" outlineLevel="0" collapsed="false">
      <c r="A39" s="28" t="s">
        <v>490</v>
      </c>
      <c r="B39" s="62" t="s">
        <v>75</v>
      </c>
      <c r="C39" s="64" t="n">
        <f aca="false">P39</f>
        <v>0</v>
      </c>
      <c r="D39" s="64" t="n">
        <f aca="false">AB39</f>
        <v>0</v>
      </c>
      <c r="E39" s="65" t="n">
        <f aca="false">Tax!E18</f>
        <v>0</v>
      </c>
      <c r="F39" s="65" t="n">
        <f aca="false">Tax!F18</f>
        <v>0</v>
      </c>
      <c r="G39" s="65" t="n">
        <f aca="false">Tax!G18</f>
        <v>0</v>
      </c>
      <c r="H39" s="65" t="n">
        <f aca="false">Tax!H18</f>
        <v>0</v>
      </c>
      <c r="I39" s="65" t="n">
        <f aca="false">Tax!I18</f>
        <v>0</v>
      </c>
      <c r="J39" s="65" t="n">
        <f aca="false">Tax!J18</f>
        <v>0</v>
      </c>
      <c r="K39" s="65" t="n">
        <f aca="false">Tax!K18</f>
        <v>0</v>
      </c>
      <c r="L39" s="65" t="n">
        <f aca="false">Tax!L18</f>
        <v>0</v>
      </c>
      <c r="M39" s="65" t="n">
        <f aca="false">Tax!M18</f>
        <v>0</v>
      </c>
      <c r="N39" s="65" t="n">
        <f aca="false">Tax!N18</f>
        <v>0</v>
      </c>
      <c r="O39" s="65" t="n">
        <f aca="false">Tax!O18</f>
        <v>0</v>
      </c>
      <c r="P39" s="65" t="n">
        <f aca="false">Tax!P18</f>
        <v>0</v>
      </c>
      <c r="Q39" s="65" t="n">
        <f aca="false">Tax!Q18</f>
        <v>0</v>
      </c>
      <c r="R39" s="65" t="n">
        <f aca="false">Tax!R18</f>
        <v>0</v>
      </c>
      <c r="S39" s="65" t="n">
        <f aca="false">Tax!S18</f>
        <v>0</v>
      </c>
      <c r="T39" s="65" t="n">
        <f aca="false">Tax!T18</f>
        <v>0</v>
      </c>
      <c r="U39" s="65" t="n">
        <f aca="false">Tax!U18</f>
        <v>0</v>
      </c>
      <c r="V39" s="65" t="n">
        <f aca="false">Tax!V18</f>
        <v>0</v>
      </c>
      <c r="W39" s="65" t="n">
        <f aca="false">Tax!W18</f>
        <v>0</v>
      </c>
      <c r="X39" s="65" t="n">
        <f aca="false">Tax!X18</f>
        <v>0</v>
      </c>
      <c r="Y39" s="65" t="n">
        <f aca="false">Tax!Y18</f>
        <v>0</v>
      </c>
      <c r="Z39" s="65" t="n">
        <f aca="false">Tax!Z18</f>
        <v>0</v>
      </c>
      <c r="AA39" s="65" t="n">
        <f aca="false">Tax!AA18</f>
        <v>0</v>
      </c>
      <c r="AB39" s="65" t="n">
        <f aca="false">Tax!AB18</f>
        <v>0</v>
      </c>
    </row>
    <row r="40" customFormat="false" ht="15" hidden="false" customHeight="false" outlineLevel="0" collapsed="false">
      <c r="A40" s="58" t="s">
        <v>491</v>
      </c>
      <c r="B40" s="59"/>
      <c r="C40" s="60" t="n">
        <f aca="false">P40</f>
        <v>1753072.25233453</v>
      </c>
      <c r="D40" s="60" t="n">
        <f aca="false">AB40</f>
        <v>1887817.09796417</v>
      </c>
      <c r="E40" s="60" t="n">
        <f aca="false">E22+E23+E24+E25+E26+E27+E28+E29+E30+E31+E32+E33+E34+E35+E36+E37+E38+E39</f>
        <v>1543724.57647867</v>
      </c>
      <c r="F40" s="60" t="n">
        <f aca="false">F22+F23+F24+F25+F26+F27+F28+F29+F30+F31+F32+F33+F34+F35+F36+F37+F38+F39</f>
        <v>1650172.30221471</v>
      </c>
      <c r="G40" s="60" t="n">
        <f aca="false">G22+G23+G24+G25+G26+G27+G28+G29+G30+G31+G32+G33+G34+G35+G36+G37+G38+G39</f>
        <v>1651980.39767558</v>
      </c>
      <c r="H40" s="60" t="n">
        <f aca="false">H22+H23+H24+H25+H26+H27+H28+H29+H30+H31+H32+H33+H34+H35+H36+H37+H38+H39</f>
        <v>1761619.05648624</v>
      </c>
      <c r="I40" s="60" t="n">
        <f aca="false">I22+I23+I24+I25+I26+I27+I28+I29+I30+I31+I32+I33+I34+I35+I36+I37+I38+I39</f>
        <v>1727827.44239686</v>
      </c>
      <c r="J40" s="60" t="n">
        <f aca="false">J22+J23+J24+J25+J26+J27+J28+J29+J30+J31+J32+J33+J34+J35+J36+J37+J38+J39</f>
        <v>1765914.20180519</v>
      </c>
      <c r="K40" s="60" t="n">
        <f aca="false">K22+K23+K24+K25+K26+K27+K28+K29+K30+K31+K32+K33+K34+K35+K36+K37+K38+K39</f>
        <v>1879249.44908334</v>
      </c>
      <c r="L40" s="60" t="n">
        <f aca="false">L22+L23+L24+L25+L26+L27+L28+L29+L30+L31+L32+L33+L34+L35+L36+L37+L38+L39</f>
        <v>1632212.50628436</v>
      </c>
      <c r="M40" s="60" t="n">
        <f aca="false">M22+M23+M24+M25+M26+M27+M28+M29+M30+M31+M32+M33+M34+M35+M36+M37+M38+M39</f>
        <v>1513714.32210496</v>
      </c>
      <c r="N40" s="60" t="n">
        <f aca="false">N22+N23+N24+N25+N26+N27+N28+N29+N30+N31+N32+N33+N34+N35+N36+N37+N38+N39</f>
        <v>1749032.96288074</v>
      </c>
      <c r="O40" s="60" t="n">
        <f aca="false">O22+O23+O24+O25+O26+O27+O28+O29+O30+O31+O32+O33+O34+O35+O36+O37+O38+O39</f>
        <v>1836257.09341895</v>
      </c>
      <c r="P40" s="60" t="n">
        <f aca="false">P22+P23+P24+P25+P26+P27+P28+P29+P30+P31+P32+P33+P34+P35+P36+P37+P38+P39</f>
        <v>1753072.25233453</v>
      </c>
      <c r="Q40" s="60" t="n">
        <f aca="false">Q22+Q23+Q24+Q25+Q26+Q27+Q28+Q29+Q30+Q31+Q32+Q33+Q34+Q35+Q36+Q37+Q38+Q39</f>
        <v>1948324.89029773</v>
      </c>
      <c r="R40" s="60" t="n">
        <f aca="false">R22+R23+R24+R25+R26+R27+R28+R29+R30+R31+R32+R33+R34+R35+R36+R37+R38+R39</f>
        <v>2075017.01652328</v>
      </c>
      <c r="S40" s="60" t="n">
        <f aca="false">S22+S23+S24+S25+S26+S27+S28+S29+S30+S31+S32+S33+S34+S35+S36+S37+S38+S39</f>
        <v>1947384.12887933</v>
      </c>
      <c r="T40" s="60" t="n">
        <f aca="false">T22+T23+T24+T25+T26+T27+T28+T29+T30+T31+T32+T33+T34+T35+T36+T37+T38+T39</f>
        <v>2126135.62712865</v>
      </c>
      <c r="U40" s="60" t="n">
        <f aca="false">U22+U23+U24+U25+U26+U27+U28+U29+U30+U31+U32+U33+U34+U35+U36+U37+U38+U39</f>
        <v>2175908.1897641</v>
      </c>
      <c r="V40" s="60" t="n">
        <f aca="false">V22+V23+V24+V25+V26+V27+V28+V29+V30+V31+V32+V33+V34+V35+V36+V37+V38+V39</f>
        <v>2100944.59404858</v>
      </c>
      <c r="W40" s="60" t="n">
        <f aca="false">W22+W23+W24+W25+W26+W27+W28+W29+W30+W31+W32+W33+W34+W35+W36+W37+W38+W39</f>
        <v>2110410.08589001</v>
      </c>
      <c r="X40" s="60" t="n">
        <f aca="false">X22+X23+X24+X25+X26+X27+X28+X29+X30+X31+X32+X33+X34+X35+X36+X37+X38+X39</f>
        <v>1866080.59464026</v>
      </c>
      <c r="Y40" s="60" t="n">
        <f aca="false">Y22+Y23+Y24+Y25+Y26+Y27+Y28+Y29+Y30+Y31+Y32+Y33+Y34+Y35+Y36+Y37+Y38+Y39</f>
        <v>1841160.15275226</v>
      </c>
      <c r="Z40" s="60" t="n">
        <f aca="false">Z22+Z23+Z24+Z25+Z26+Z27+Z28+Z29+Z30+Z31+Z32+Z33+Z34+Z35+Z36+Z37+Z38+Z39</f>
        <v>1931738.62556841</v>
      </c>
      <c r="AA40" s="60" t="n">
        <f aca="false">AA22+AA23+AA24+AA25+AA26+AA27+AA28+AA29+AA30+AA31+AA32+AA33+AA34+AA35+AA36+AA37+AA38+AA39</f>
        <v>2006320.93799389</v>
      </c>
      <c r="AB40" s="60" t="n">
        <f aca="false">AB22+AB23+AB24+AB25+AB26+AB27+AB28+AB29+AB30+AB31+AB32+AB33+AB34+AB35+AB36+AB37+AB38+AB39</f>
        <v>1887817.09796417</v>
      </c>
    </row>
    <row r="41" customFormat="false" ht="15" hidden="false" customHeight="false" outlineLevel="0" collapsed="false">
      <c r="A41" s="22" t="s">
        <v>492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customFormat="false" ht="15" hidden="false" customHeight="false" outlineLevel="0" collapsed="false">
      <c r="A42" s="28" t="s">
        <v>493</v>
      </c>
      <c r="B42" s="62" t="s">
        <v>81</v>
      </c>
      <c r="C42" s="64" t="n">
        <f aca="false">P42</f>
        <v>150000</v>
      </c>
      <c r="D42" s="64" t="n">
        <f aca="false">AB42</f>
        <v>150000</v>
      </c>
      <c r="E42" s="65" t="n">
        <f aca="false">Treasury!E9</f>
        <v>150000</v>
      </c>
      <c r="F42" s="65" t="n">
        <f aca="false">Treasury!F9</f>
        <v>150000</v>
      </c>
      <c r="G42" s="65" t="n">
        <f aca="false">Treasury!G9</f>
        <v>150000</v>
      </c>
      <c r="H42" s="65" t="n">
        <f aca="false">Treasury!H9</f>
        <v>150000</v>
      </c>
      <c r="I42" s="65" t="n">
        <f aca="false">Treasury!I9</f>
        <v>150000</v>
      </c>
      <c r="J42" s="65" t="n">
        <f aca="false">Treasury!J9</f>
        <v>150000</v>
      </c>
      <c r="K42" s="65" t="n">
        <f aca="false">Treasury!K9</f>
        <v>150000</v>
      </c>
      <c r="L42" s="65" t="n">
        <f aca="false">Treasury!L9</f>
        <v>150000</v>
      </c>
      <c r="M42" s="65" t="n">
        <f aca="false">Treasury!M9</f>
        <v>150000</v>
      </c>
      <c r="N42" s="65" t="n">
        <f aca="false">Treasury!N9</f>
        <v>150000</v>
      </c>
      <c r="O42" s="65" t="n">
        <f aca="false">Treasury!O9</f>
        <v>150000</v>
      </c>
      <c r="P42" s="65" t="n">
        <f aca="false">Treasury!P9</f>
        <v>150000</v>
      </c>
      <c r="Q42" s="65" t="n">
        <f aca="false">Treasury!Q9</f>
        <v>150000</v>
      </c>
      <c r="R42" s="65" t="n">
        <f aca="false">Treasury!R9</f>
        <v>150000</v>
      </c>
      <c r="S42" s="65" t="n">
        <f aca="false">Treasury!S9</f>
        <v>150000</v>
      </c>
      <c r="T42" s="65" t="n">
        <f aca="false">Treasury!T9</f>
        <v>150000</v>
      </c>
      <c r="U42" s="65" t="n">
        <f aca="false">Treasury!U9</f>
        <v>150000</v>
      </c>
      <c r="V42" s="65" t="n">
        <f aca="false">Treasury!V9</f>
        <v>150000</v>
      </c>
      <c r="W42" s="65" t="n">
        <f aca="false">Treasury!W9</f>
        <v>150000</v>
      </c>
      <c r="X42" s="65" t="n">
        <f aca="false">Treasury!X9</f>
        <v>150000</v>
      </c>
      <c r="Y42" s="65" t="n">
        <f aca="false">Treasury!Y9</f>
        <v>150000</v>
      </c>
      <c r="Z42" s="65" t="n">
        <f aca="false">Treasury!Z9</f>
        <v>150000</v>
      </c>
      <c r="AA42" s="65" t="n">
        <f aca="false">Treasury!AA9</f>
        <v>150000</v>
      </c>
      <c r="AB42" s="65" t="n">
        <f aca="false">Treasury!AB9</f>
        <v>150000</v>
      </c>
    </row>
    <row r="43" customFormat="false" ht="15" hidden="false" customHeight="false" outlineLevel="0" collapsed="false">
      <c r="A43" s="28" t="s">
        <v>494</v>
      </c>
      <c r="B43" s="62" t="s">
        <v>81</v>
      </c>
      <c r="C43" s="64" t="n">
        <f aca="false">P43</f>
        <v>24450000</v>
      </c>
      <c r="D43" s="64" t="n">
        <f aca="false">AB43</f>
        <v>24450000</v>
      </c>
      <c r="E43" s="65" t="n">
        <f aca="false">Treasury!E10</f>
        <v>24450000</v>
      </c>
      <c r="F43" s="65" t="n">
        <f aca="false">Treasury!F10</f>
        <v>24450000</v>
      </c>
      <c r="G43" s="65" t="n">
        <f aca="false">Treasury!G10</f>
        <v>24450000</v>
      </c>
      <c r="H43" s="65" t="n">
        <f aca="false">Treasury!H10</f>
        <v>24450000</v>
      </c>
      <c r="I43" s="65" t="n">
        <f aca="false">Treasury!I10</f>
        <v>24450000</v>
      </c>
      <c r="J43" s="65" t="n">
        <f aca="false">Treasury!J10</f>
        <v>24450000</v>
      </c>
      <c r="K43" s="65" t="n">
        <f aca="false">Treasury!K10</f>
        <v>24450000</v>
      </c>
      <c r="L43" s="65" t="n">
        <f aca="false">Treasury!L10</f>
        <v>24450000</v>
      </c>
      <c r="M43" s="65" t="n">
        <f aca="false">Treasury!M10</f>
        <v>24450000</v>
      </c>
      <c r="N43" s="65" t="n">
        <f aca="false">Treasury!N10</f>
        <v>24450000</v>
      </c>
      <c r="O43" s="65" t="n">
        <f aca="false">Treasury!O10</f>
        <v>24450000</v>
      </c>
      <c r="P43" s="65" t="n">
        <f aca="false">Treasury!P10</f>
        <v>24450000</v>
      </c>
      <c r="Q43" s="65" t="n">
        <f aca="false">Treasury!Q10</f>
        <v>24450000</v>
      </c>
      <c r="R43" s="65" t="n">
        <f aca="false">Treasury!R10</f>
        <v>24450000</v>
      </c>
      <c r="S43" s="65" t="n">
        <f aca="false">Treasury!S10</f>
        <v>24450000</v>
      </c>
      <c r="T43" s="65" t="n">
        <f aca="false">Treasury!T10</f>
        <v>24450000</v>
      </c>
      <c r="U43" s="65" t="n">
        <f aca="false">Treasury!U10</f>
        <v>24450000</v>
      </c>
      <c r="V43" s="65" t="n">
        <f aca="false">Treasury!V10</f>
        <v>24450000</v>
      </c>
      <c r="W43" s="65" t="n">
        <f aca="false">Treasury!W10</f>
        <v>24450000</v>
      </c>
      <c r="X43" s="65" t="n">
        <f aca="false">Treasury!X10</f>
        <v>24450000</v>
      </c>
      <c r="Y43" s="65" t="n">
        <f aca="false">Treasury!Y10</f>
        <v>24450000</v>
      </c>
      <c r="Z43" s="65" t="n">
        <f aca="false">Treasury!Z10</f>
        <v>24450000</v>
      </c>
      <c r="AA43" s="65" t="n">
        <f aca="false">Treasury!AA10</f>
        <v>24450000</v>
      </c>
      <c r="AB43" s="65" t="n">
        <f aca="false">Treasury!AB10</f>
        <v>24450000</v>
      </c>
    </row>
    <row r="44" customFormat="false" ht="15" hidden="false" customHeight="false" outlineLevel="0" collapsed="false">
      <c r="A44" s="28" t="s">
        <v>495</v>
      </c>
      <c r="B44" s="62"/>
      <c r="E44" s="65" t="n">
        <f aca="false">Inputs_Actuals!$C$203</f>
        <v>-12182178.45</v>
      </c>
      <c r="F44" s="73" t="n">
        <f aca="false">E46</f>
        <v>-12551789.4606453</v>
      </c>
      <c r="G44" s="73" t="n">
        <f aca="false">F46</f>
        <v>-12969967.0192703</v>
      </c>
      <c r="H44" s="73" t="n">
        <f aca="false">G46</f>
        <v>-13393018.5451978</v>
      </c>
      <c r="I44" s="73" t="n">
        <f aca="false">H46</f>
        <v>-13841997.0186418</v>
      </c>
      <c r="J44" s="73" t="n">
        <f aca="false">I46</f>
        <v>-14195142.7065746</v>
      </c>
      <c r="K44" s="73" t="n">
        <f aca="false">J46</f>
        <v>-14662980.5275385</v>
      </c>
      <c r="L44" s="73" t="n">
        <f aca="false">K46</f>
        <v>-15016360.0147945</v>
      </c>
      <c r="M44" s="73" t="n">
        <f aca="false">L46</f>
        <v>-15191608.7878288</v>
      </c>
      <c r="N44" s="73" t="n">
        <f aca="false">M46</f>
        <v>-15476726.9047215</v>
      </c>
      <c r="O44" s="73" t="n">
        <f aca="false">N46</f>
        <v>-15866650.1145532</v>
      </c>
      <c r="P44" s="73" t="n">
        <f aca="false">O46</f>
        <v>-16253009.4145775</v>
      </c>
      <c r="Q44" s="73" t="n">
        <f aca="false">P46</f>
        <v>-16570578.6616692</v>
      </c>
      <c r="R44" s="73" t="n">
        <f aca="false">Q46</f>
        <v>-16990046.4445419</v>
      </c>
      <c r="S44" s="73" t="n">
        <f aca="false">R46</f>
        <v>-17414703.1291098</v>
      </c>
      <c r="T44" s="73" t="n">
        <f aca="false">S46</f>
        <v>-17737738.3669866</v>
      </c>
      <c r="U44" s="73" t="n">
        <f aca="false">T46</f>
        <v>-18161798.6372057</v>
      </c>
      <c r="V44" s="73" t="n">
        <f aca="false">U46</f>
        <v>-18505522.6263836</v>
      </c>
      <c r="W44" s="73" t="n">
        <f aca="false">V46</f>
        <v>-18841157.4922526</v>
      </c>
      <c r="X44" s="73" t="n">
        <f aca="false">W46</f>
        <v>-19169297.3838828</v>
      </c>
      <c r="Y44" s="73" t="n">
        <f aca="false">X46</f>
        <v>-19321866.5009506</v>
      </c>
      <c r="Z44" s="73" t="n">
        <f aca="false">Y46</f>
        <v>-19680113.7582835</v>
      </c>
      <c r="AA44" s="73" t="n">
        <f aca="false">Z46</f>
        <v>-20010568.3852752</v>
      </c>
      <c r="AB44" s="73" t="n">
        <f aca="false">AA46</f>
        <v>-20363982.6227956</v>
      </c>
    </row>
    <row r="45" customFormat="false" ht="15" hidden="false" customHeight="false" outlineLevel="0" collapsed="false">
      <c r="A45" s="28" t="s">
        <v>496</v>
      </c>
      <c r="B45" s="62" t="s">
        <v>30</v>
      </c>
      <c r="C45" s="64" t="n">
        <f aca="false">SUM(E45:P45)</f>
        <v>-4388400.21166922</v>
      </c>
      <c r="D45" s="64" t="n">
        <f aca="false">SUM(Q45:AB45)</f>
        <v>-4121188.63571631</v>
      </c>
      <c r="E45" s="65" t="n">
        <f aca="false">PL!E54</f>
        <v>-369611.010645337</v>
      </c>
      <c r="F45" s="65" t="n">
        <f aca="false">PL!F54</f>
        <v>-418177.558624932</v>
      </c>
      <c r="G45" s="65" t="n">
        <f aca="false">PL!G54</f>
        <v>-423051.525927534</v>
      </c>
      <c r="H45" s="65" t="n">
        <f aca="false">PL!H54</f>
        <v>-448978.473443989</v>
      </c>
      <c r="I45" s="65" t="n">
        <f aca="false">PL!I54</f>
        <v>-353145.687932848</v>
      </c>
      <c r="J45" s="65" t="n">
        <f aca="false">PL!J54</f>
        <v>-467837.820963879</v>
      </c>
      <c r="K45" s="65" t="n">
        <f aca="false">PL!K54</f>
        <v>-353379.487255932</v>
      </c>
      <c r="L45" s="65" t="n">
        <f aca="false">PL!L54</f>
        <v>-175248.773034354</v>
      </c>
      <c r="M45" s="65" t="n">
        <f aca="false">PL!M54</f>
        <v>-285118.116892674</v>
      </c>
      <c r="N45" s="65" t="n">
        <f aca="false">PL!N54</f>
        <v>-389923.20983172</v>
      </c>
      <c r="O45" s="65" t="n">
        <f aca="false">PL!O54</f>
        <v>-386359.30002434</v>
      </c>
      <c r="P45" s="65" t="n">
        <f aca="false">PL!P54</f>
        <v>-317569.247091677</v>
      </c>
      <c r="Q45" s="65" t="n">
        <f aca="false">PL!Q54</f>
        <v>-419467.782872655</v>
      </c>
      <c r="R45" s="65" t="n">
        <f aca="false">PL!R54</f>
        <v>-424656.684567895</v>
      </c>
      <c r="S45" s="65" t="n">
        <f aca="false">PL!S54</f>
        <v>-323035.237876854</v>
      </c>
      <c r="T45" s="65" t="n">
        <f aca="false">PL!T54</f>
        <v>-424060.270219029</v>
      </c>
      <c r="U45" s="65" t="n">
        <f aca="false">PL!U54</f>
        <v>-343723.989177943</v>
      </c>
      <c r="V45" s="65" t="n">
        <f aca="false">PL!V54</f>
        <v>-335634.865869001</v>
      </c>
      <c r="W45" s="65" t="n">
        <f aca="false">PL!W54</f>
        <v>-328139.891630226</v>
      </c>
      <c r="X45" s="65" t="n">
        <f aca="false">PL!X54</f>
        <v>-152569.117067804</v>
      </c>
      <c r="Y45" s="65" t="n">
        <f aca="false">PL!Y54</f>
        <v>-358247.25733292</v>
      </c>
      <c r="Z45" s="65" t="n">
        <f aca="false">PL!Z54</f>
        <v>-330454.626991664</v>
      </c>
      <c r="AA45" s="65" t="n">
        <f aca="false">PL!AA54</f>
        <v>-353414.237520372</v>
      </c>
      <c r="AB45" s="65" t="n">
        <f aca="false">PL!AB54</f>
        <v>-327784.674589952</v>
      </c>
    </row>
    <row r="46" customFormat="false" ht="15" hidden="false" customHeight="false" outlineLevel="0" collapsed="false">
      <c r="A46" s="28" t="s">
        <v>497</v>
      </c>
      <c r="B46" s="62"/>
      <c r="C46" s="64" t="n">
        <f aca="false">P46</f>
        <v>-16570578.6616692</v>
      </c>
      <c r="D46" s="64" t="n">
        <f aca="false">AB46</f>
        <v>-20691767.2973855</v>
      </c>
      <c r="E46" s="73" t="n">
        <f aca="false">E44+E45</f>
        <v>-12551789.4606453</v>
      </c>
      <c r="F46" s="73" t="n">
        <f aca="false">F44+F45</f>
        <v>-12969967.0192703</v>
      </c>
      <c r="G46" s="73" t="n">
        <f aca="false">G44+G45</f>
        <v>-13393018.5451978</v>
      </c>
      <c r="H46" s="73" t="n">
        <f aca="false">H44+H45</f>
        <v>-13841997.0186418</v>
      </c>
      <c r="I46" s="73" t="n">
        <f aca="false">I44+I45</f>
        <v>-14195142.7065746</v>
      </c>
      <c r="J46" s="73" t="n">
        <f aca="false">J44+J45</f>
        <v>-14662980.5275385</v>
      </c>
      <c r="K46" s="73" t="n">
        <f aca="false">K44+K45</f>
        <v>-15016360.0147945</v>
      </c>
      <c r="L46" s="73" t="n">
        <f aca="false">L44+L45</f>
        <v>-15191608.7878288</v>
      </c>
      <c r="M46" s="73" t="n">
        <f aca="false">M44+M45</f>
        <v>-15476726.9047215</v>
      </c>
      <c r="N46" s="73" t="n">
        <f aca="false">N44+N45</f>
        <v>-15866650.1145532</v>
      </c>
      <c r="O46" s="73" t="n">
        <f aca="false">O44+O45</f>
        <v>-16253009.4145775</v>
      </c>
      <c r="P46" s="73" t="n">
        <f aca="false">P44+P45</f>
        <v>-16570578.6616692</v>
      </c>
      <c r="Q46" s="73" t="n">
        <f aca="false">Q44+Q45</f>
        <v>-16990046.4445419</v>
      </c>
      <c r="R46" s="73" t="n">
        <f aca="false">R44+R45</f>
        <v>-17414703.1291098</v>
      </c>
      <c r="S46" s="73" t="n">
        <f aca="false">S44+S45</f>
        <v>-17737738.3669866</v>
      </c>
      <c r="T46" s="73" t="n">
        <f aca="false">T44+T45</f>
        <v>-18161798.6372057</v>
      </c>
      <c r="U46" s="73" t="n">
        <f aca="false">U44+U45</f>
        <v>-18505522.6263836</v>
      </c>
      <c r="V46" s="73" t="n">
        <f aca="false">V44+V45</f>
        <v>-18841157.4922526</v>
      </c>
      <c r="W46" s="73" t="n">
        <f aca="false">W44+W45</f>
        <v>-19169297.3838828</v>
      </c>
      <c r="X46" s="73" t="n">
        <f aca="false">X44+X45</f>
        <v>-19321866.5009506</v>
      </c>
      <c r="Y46" s="73" t="n">
        <f aca="false">Y44+Y45</f>
        <v>-19680113.7582835</v>
      </c>
      <c r="Z46" s="73" t="n">
        <f aca="false">Z44+Z45</f>
        <v>-20010568.3852752</v>
      </c>
      <c r="AA46" s="73" t="n">
        <f aca="false">AA44+AA45</f>
        <v>-20363982.6227956</v>
      </c>
      <c r="AB46" s="73" t="n">
        <f aca="false">AB44+AB45</f>
        <v>-20691767.2973855</v>
      </c>
    </row>
    <row r="47" customFormat="false" ht="15" hidden="false" customHeight="false" outlineLevel="0" collapsed="false">
      <c r="A47" s="58" t="s">
        <v>498</v>
      </c>
      <c r="B47" s="59"/>
      <c r="C47" s="60" t="n">
        <f aca="false">P47</f>
        <v>8029421.33833079</v>
      </c>
      <c r="D47" s="60" t="n">
        <f aca="false">AB47</f>
        <v>3908232.70261447</v>
      </c>
      <c r="E47" s="60" t="n">
        <f aca="false">E42+E43+E46</f>
        <v>12048210.5393547</v>
      </c>
      <c r="F47" s="60" t="n">
        <f aca="false">F42+F43+F46</f>
        <v>11630032.9807297</v>
      </c>
      <c r="G47" s="60" t="n">
        <f aca="false">G42+G43+G46</f>
        <v>11206981.4548022</v>
      </c>
      <c r="H47" s="60" t="n">
        <f aca="false">H42+H43+H46</f>
        <v>10758002.9813582</v>
      </c>
      <c r="I47" s="60" t="n">
        <f aca="false">I42+I43+I46</f>
        <v>10404857.2934254</v>
      </c>
      <c r="J47" s="60" t="n">
        <f aca="false">J42+J43+J46</f>
        <v>9937019.47246148</v>
      </c>
      <c r="K47" s="60" t="n">
        <f aca="false">K42+K43+K46</f>
        <v>9583639.98520555</v>
      </c>
      <c r="L47" s="60" t="n">
        <f aca="false">L42+L43+L46</f>
        <v>9408391.2121712</v>
      </c>
      <c r="M47" s="60" t="n">
        <f aca="false">M42+M43+M46</f>
        <v>9123273.09527852</v>
      </c>
      <c r="N47" s="60" t="n">
        <f aca="false">N42+N43+N46</f>
        <v>8733349.8854468</v>
      </c>
      <c r="O47" s="60" t="n">
        <f aca="false">O42+O43+O46</f>
        <v>8346990.58542246</v>
      </c>
      <c r="P47" s="60" t="n">
        <f aca="false">P42+P43+P46</f>
        <v>8029421.33833079</v>
      </c>
      <c r="Q47" s="60" t="n">
        <f aca="false">Q42+Q43+Q46</f>
        <v>7609953.55545813</v>
      </c>
      <c r="R47" s="60" t="n">
        <f aca="false">R42+R43+R46</f>
        <v>7185296.87089023</v>
      </c>
      <c r="S47" s="60" t="n">
        <f aca="false">S42+S43+S46</f>
        <v>6862261.63301338</v>
      </c>
      <c r="T47" s="60" t="n">
        <f aca="false">T42+T43+T46</f>
        <v>6438201.36279435</v>
      </c>
      <c r="U47" s="60" t="n">
        <f aca="false">U42+U43+U46</f>
        <v>6094477.37361641</v>
      </c>
      <c r="V47" s="60" t="n">
        <f aca="false">V42+V43+V46</f>
        <v>5758842.50774741</v>
      </c>
      <c r="W47" s="60" t="n">
        <f aca="false">W42+W43+W46</f>
        <v>5430702.61611718</v>
      </c>
      <c r="X47" s="60" t="n">
        <f aca="false">X42+X43+X46</f>
        <v>5278133.49904938</v>
      </c>
      <c r="Y47" s="60" t="n">
        <f aca="false">Y42+Y43+Y46</f>
        <v>4919886.24171646</v>
      </c>
      <c r="Z47" s="60" t="n">
        <f aca="false">Z42+Z43+Z46</f>
        <v>4589431.6147248</v>
      </c>
      <c r="AA47" s="60" t="n">
        <f aca="false">AA42+AA43+AA46</f>
        <v>4236017.37720443</v>
      </c>
      <c r="AB47" s="60" t="n">
        <f aca="false">AB42+AB43+AB46</f>
        <v>3908232.70261447</v>
      </c>
    </row>
    <row r="48" customFormat="false" ht="15" hidden="false" customHeight="false" outlineLevel="0" collapsed="false">
      <c r="A48" s="58" t="s">
        <v>499</v>
      </c>
      <c r="B48" s="59"/>
      <c r="C48" s="60" t="n">
        <f aca="false">P48</f>
        <v>9782493.59066531</v>
      </c>
      <c r="D48" s="60" t="n">
        <f aca="false">AB48</f>
        <v>5796049.80057864</v>
      </c>
      <c r="E48" s="60" t="n">
        <f aca="false">E40+E47</f>
        <v>13591935.1158333</v>
      </c>
      <c r="F48" s="60" t="n">
        <f aca="false">F40+F47</f>
        <v>13280205.2829444</v>
      </c>
      <c r="G48" s="60" t="n">
        <f aca="false">G40+G47</f>
        <v>12858961.8524778</v>
      </c>
      <c r="H48" s="60" t="n">
        <f aca="false">H40+H47</f>
        <v>12519622.0378444</v>
      </c>
      <c r="I48" s="60" t="n">
        <f aca="false">I40+I47</f>
        <v>12132684.7358222</v>
      </c>
      <c r="J48" s="60" t="n">
        <f aca="false">J40+J47</f>
        <v>11702933.6742667</v>
      </c>
      <c r="K48" s="60" t="n">
        <f aca="false">K40+K47</f>
        <v>11462889.4342889</v>
      </c>
      <c r="L48" s="60" t="n">
        <f aca="false">L40+L47</f>
        <v>11040603.7184556</v>
      </c>
      <c r="M48" s="60" t="n">
        <f aca="false">M40+M47</f>
        <v>10636987.4173835</v>
      </c>
      <c r="N48" s="60" t="n">
        <f aca="false">N40+N47</f>
        <v>10482382.8483275</v>
      </c>
      <c r="O48" s="60" t="n">
        <f aca="false">O40+O47</f>
        <v>10183247.6788414</v>
      </c>
      <c r="P48" s="60" t="n">
        <f aca="false">P40+P47</f>
        <v>9782493.59066531</v>
      </c>
      <c r="Q48" s="60" t="n">
        <f aca="false">Q40+Q47</f>
        <v>9558278.44575586</v>
      </c>
      <c r="R48" s="60" t="n">
        <f aca="false">R40+R47</f>
        <v>9260313.88741352</v>
      </c>
      <c r="S48" s="60" t="n">
        <f aca="false">S40+S47</f>
        <v>8809645.76189271</v>
      </c>
      <c r="T48" s="60" t="n">
        <f aca="false">T40+T47</f>
        <v>8564336.989923</v>
      </c>
      <c r="U48" s="60" t="n">
        <f aca="false">U40+U47</f>
        <v>8270385.5633805</v>
      </c>
      <c r="V48" s="60" t="n">
        <f aca="false">V40+V47</f>
        <v>7859787.10179598</v>
      </c>
      <c r="W48" s="60" t="n">
        <f aca="false">W40+W47</f>
        <v>7541112.70200719</v>
      </c>
      <c r="X48" s="60" t="n">
        <f aca="false">X40+X47</f>
        <v>7144214.09368964</v>
      </c>
      <c r="Y48" s="60" t="n">
        <f aca="false">Y40+Y47</f>
        <v>6761046.39446872</v>
      </c>
      <c r="Z48" s="60" t="n">
        <f aca="false">Z40+Z47</f>
        <v>6521170.24029321</v>
      </c>
      <c r="AA48" s="60" t="n">
        <f aca="false">AA40+AA47</f>
        <v>6242338.31519832</v>
      </c>
      <c r="AB48" s="60" t="n">
        <f aca="false">AB40+AB47</f>
        <v>5796049.80057864</v>
      </c>
    </row>
    <row r="49" customFormat="false" ht="15" hidden="false" customHeight="false" outlineLevel="0" collapsed="false">
      <c r="A49" s="58" t="s">
        <v>500</v>
      </c>
      <c r="B49" s="59"/>
      <c r="C49" s="60" t="n">
        <f aca="false">P49</f>
        <v>0</v>
      </c>
      <c r="D49" s="60" t="n">
        <f aca="false">AB49</f>
        <v>0</v>
      </c>
      <c r="E49" s="60" t="n">
        <f aca="false">ROUND(E20-E48,2)</f>
        <v>0</v>
      </c>
      <c r="F49" s="60" t="n">
        <f aca="false">ROUND(F20-F48,2)</f>
        <v>0</v>
      </c>
      <c r="G49" s="60" t="n">
        <f aca="false">ROUND(G20-G48,2)</f>
        <v>0</v>
      </c>
      <c r="H49" s="60" t="n">
        <f aca="false">ROUND(H20-H48,2)</f>
        <v>0</v>
      </c>
      <c r="I49" s="60" t="n">
        <f aca="false">ROUND(I20-I48,2)</f>
        <v>0</v>
      </c>
      <c r="J49" s="60" t="n">
        <f aca="false">ROUND(J20-J48,2)</f>
        <v>0</v>
      </c>
      <c r="K49" s="60" t="n">
        <f aca="false">ROUND(K20-K48,2)</f>
        <v>0</v>
      </c>
      <c r="L49" s="60" t="n">
        <f aca="false">ROUND(L20-L48,2)</f>
        <v>0</v>
      </c>
      <c r="M49" s="60" t="n">
        <f aca="false">ROUND(M20-M48,2)</f>
        <v>0</v>
      </c>
      <c r="N49" s="60" t="n">
        <f aca="false">ROUND(N20-N48,2)</f>
        <v>0</v>
      </c>
      <c r="O49" s="60" t="n">
        <f aca="false">ROUND(O20-O48,2)</f>
        <v>0</v>
      </c>
      <c r="P49" s="60" t="n">
        <f aca="false">ROUND(P20-P48,2)</f>
        <v>0</v>
      </c>
      <c r="Q49" s="60" t="n">
        <f aca="false">ROUND(Q20-Q48,2)</f>
        <v>0</v>
      </c>
      <c r="R49" s="60" t="n">
        <f aca="false">ROUND(R20-R48,2)</f>
        <v>0</v>
      </c>
      <c r="S49" s="60" t="n">
        <f aca="false">ROUND(S20-S48,2)</f>
        <v>0</v>
      </c>
      <c r="T49" s="60" t="n">
        <f aca="false">ROUND(T20-T48,2)</f>
        <v>0</v>
      </c>
      <c r="U49" s="60" t="n">
        <f aca="false">ROUND(U20-U48,2)</f>
        <v>0</v>
      </c>
      <c r="V49" s="60" t="n">
        <f aca="false">ROUND(V20-V48,2)</f>
        <v>0</v>
      </c>
      <c r="W49" s="60" t="n">
        <f aca="false">ROUND(W20-W48,2)</f>
        <v>0</v>
      </c>
      <c r="X49" s="60" t="n">
        <f aca="false">ROUND(X20-X48,2)</f>
        <v>0</v>
      </c>
      <c r="Y49" s="60" t="n">
        <f aca="false">ROUND(Y20-Y48,2)</f>
        <v>0</v>
      </c>
      <c r="Z49" s="60" t="n">
        <f aca="false">ROUND(Z20-Z48,2)</f>
        <v>0</v>
      </c>
      <c r="AA49" s="60" t="n">
        <f aca="false">ROUND(AA20-AA48,2)</f>
        <v>0</v>
      </c>
      <c r="AB49" s="60" t="n">
        <f aca="false">ROUND(AB20-AB48,2)</f>
        <v>0</v>
      </c>
    </row>
    <row r="50" customFormat="false" ht="15" hidden="false" customHeight="false" outlineLevel="0" collapsed="false">
      <c r="A50" s="22" t="s">
        <v>501</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customFormat="false" ht="15" hidden="false" customHeight="false" outlineLevel="0" collapsed="false">
      <c r="A51" s="28" t="s">
        <v>502</v>
      </c>
      <c r="B51" s="62"/>
      <c r="C51" s="64" t="n">
        <f aca="false">P51</f>
        <v>671072.829246591</v>
      </c>
      <c r="D51" s="64" t="n">
        <f aca="false">AB51</f>
        <v>776942.393487923</v>
      </c>
      <c r="E51" s="73" t="n">
        <f aca="false">E26+E27</f>
        <v>615710.114090909</v>
      </c>
      <c r="F51" s="73" t="n">
        <f aca="false">F26+F27</f>
        <v>636065.675454545</v>
      </c>
      <c r="G51" s="73" t="n">
        <f aca="false">G26+G27</f>
        <v>571616.271818182</v>
      </c>
      <c r="H51" s="73" t="n">
        <f aca="false">H26+H27</f>
        <v>692385.454545455</v>
      </c>
      <c r="I51" s="73" t="n">
        <f aca="false">I26+I27</f>
        <v>671452.045454545</v>
      </c>
      <c r="J51" s="73" t="n">
        <f aca="false">J26+J27</f>
        <v>591316.309545455</v>
      </c>
      <c r="K51" s="73" t="n">
        <f aca="false">K26+K27</f>
        <v>750837.143636364</v>
      </c>
      <c r="L51" s="73" t="n">
        <f aca="false">L26+L27</f>
        <v>667955.930909091</v>
      </c>
      <c r="M51" s="73" t="n">
        <f aca="false">M26+M27</f>
        <v>514178.336427834</v>
      </c>
      <c r="N51" s="73" t="n">
        <f aca="false">N26+N27</f>
        <v>708912.895495448</v>
      </c>
      <c r="O51" s="73" t="n">
        <f aca="false">O26+O27</f>
        <v>726079.935215685</v>
      </c>
      <c r="P51" s="73" t="n">
        <f aca="false">P26+P27</f>
        <v>671072.829246591</v>
      </c>
      <c r="Q51" s="73" t="n">
        <f aca="false">Q26+Q27</f>
        <v>836795.506689028</v>
      </c>
      <c r="R51" s="73" t="n">
        <f aca="false">R26+R27</f>
        <v>935085.534269493</v>
      </c>
      <c r="S51" s="73" t="n">
        <f aca="false">S26+S27</f>
        <v>732157.646588346</v>
      </c>
      <c r="T51" s="73" t="n">
        <f aca="false">T26+T27</f>
        <v>914630.253475946</v>
      </c>
      <c r="U51" s="73" t="n">
        <f aca="false">U26+U27</f>
        <v>976462.457860312</v>
      </c>
      <c r="V51" s="73" t="n">
        <f aca="false">V26+V27</f>
        <v>819923.530680982</v>
      </c>
      <c r="W51" s="73" t="n">
        <f aca="false">W26+W27</f>
        <v>938056.22271094</v>
      </c>
      <c r="X51" s="73" t="n">
        <f aca="false">X26+X27</f>
        <v>912966.801630988</v>
      </c>
      <c r="Y51" s="73" t="n">
        <f aca="false">Y26+Y27</f>
        <v>820517.848316059</v>
      </c>
      <c r="Z51" s="73" t="n">
        <f aca="false">Z26+Z27</f>
        <v>880852.992321935</v>
      </c>
      <c r="AA51" s="73" t="n">
        <f aca="false">AA26+AA27</f>
        <v>882787.99706675</v>
      </c>
      <c r="AB51" s="73" t="n">
        <f aca="false">AB26+AB27</f>
        <v>776942.393487923</v>
      </c>
    </row>
    <row r="52" customFormat="false" ht="15" hidden="false" customHeight="false" outlineLevel="0" collapsed="false">
      <c r="A52" s="28" t="s">
        <v>503</v>
      </c>
      <c r="B52" s="62"/>
      <c r="C52" s="67" t="n">
        <f aca="false">P52</f>
        <v>13.0338897056215</v>
      </c>
      <c r="D52" s="67" t="n">
        <f aca="false">AB52</f>
        <v>4.66623214789795</v>
      </c>
      <c r="E52" s="68" t="n">
        <f aca="false">IF(PL!E15=0,0,E9/PL!E15)</f>
        <v>23.5543945486896</v>
      </c>
      <c r="F52" s="68" t="n">
        <f aca="false">IF(PL!F15=0,0,F9/PL!F15)</f>
        <v>23.8663448334992</v>
      </c>
      <c r="G52" s="68" t="n">
        <f aca="false">IF(PL!G15=0,0,G9/PL!G15)</f>
        <v>21.2732303504947</v>
      </c>
      <c r="H52" s="68" t="n">
        <f aca="false">IF(PL!H15=0,0,H9/PL!H15)</f>
        <v>21.012175780145</v>
      </c>
      <c r="I52" s="68" t="n">
        <f aca="false">IF(PL!I15=0,0,I9/PL!I15)</f>
        <v>18.805724821798</v>
      </c>
      <c r="J52" s="68" t="n">
        <f aca="false">IF(PL!J15=0,0,J9/PL!J15)</f>
        <v>16.6212783386518</v>
      </c>
      <c r="K52" s="68" t="n">
        <f aca="false">IF(PL!K15=0,0,K9/PL!K15)</f>
        <v>17.1935442012528</v>
      </c>
      <c r="L52" s="68" t="n">
        <f aca="false">IF(PL!L15=0,0,L9/PL!L15)</f>
        <v>16.2629016663395</v>
      </c>
      <c r="M52" s="68" t="n">
        <f aca="false">IF(PL!M15=0,0,M9/PL!M15)</f>
        <v>13.6385235641605</v>
      </c>
      <c r="N52" s="68" t="n">
        <f aca="false">IF(PL!N15=0,0,N9/PL!N15)</f>
        <v>15.040176630684</v>
      </c>
      <c r="O52" s="68" t="n">
        <f aca="false">IF(PL!O15=0,0,O9/PL!O15)</f>
        <v>13.8311532694279</v>
      </c>
      <c r="P52" s="68" t="n">
        <f aca="false">IF(PL!P15=0,0,P9/PL!P15)</f>
        <v>13.0338897056215</v>
      </c>
      <c r="Q52" s="68" t="n">
        <f aca="false">IF(PL!Q15=0,0,Q9/PL!Q15)</f>
        <v>11.1768835100618</v>
      </c>
      <c r="R52" s="68" t="n">
        <f aca="false">IF(PL!R15=0,0,R9/PL!R15)</f>
        <v>10.6486312460386</v>
      </c>
      <c r="S52" s="68" t="n">
        <f aca="false">IF(PL!S15=0,0,S9/PL!S15)</f>
        <v>8.47816828523482</v>
      </c>
      <c r="T52" s="68" t="n">
        <f aca="false">IF(PL!T15=0,0,T9/PL!T15)</f>
        <v>8.83645724450312</v>
      </c>
      <c r="U52" s="68" t="n">
        <f aca="false">IF(PL!U15=0,0,U9/PL!U15)</f>
        <v>7.98333736119999</v>
      </c>
      <c r="V52" s="68" t="n">
        <f aca="false">IF(PL!V15=0,0,V9/PL!V15)</f>
        <v>6.37708416193373</v>
      </c>
      <c r="W52" s="68" t="n">
        <f aca="false">IF(PL!W15=0,0,W9/PL!W15)</f>
        <v>6.56133653374964</v>
      </c>
      <c r="X52" s="68" t="n">
        <f aca="false">IF(PL!X15=0,0,X9/PL!X15)</f>
        <v>5.73048720392508</v>
      </c>
      <c r="Y52" s="68" t="n">
        <f aca="false">IF(PL!Y15=0,0,Y9/PL!Y15)</f>
        <v>6.31629909241728</v>
      </c>
      <c r="Z52" s="68" t="n">
        <f aca="false">IF(PL!Z15=0,0,Z9/PL!Z15)</f>
        <v>5.39665364861582</v>
      </c>
      <c r="AA52" s="68" t="n">
        <f aca="false">IF(PL!AA15=0,0,AA9/PL!AA15)</f>
        <v>4.95995139535069</v>
      </c>
      <c r="AB52" s="68" t="n">
        <f aca="false">IF(PL!AB15=0,0,AB9/PL!AB15)</f>
        <v>4.66623214789795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504</v>
      </c>
    </row>
    <row r="3" customFormat="false" ht="15" hidden="false" customHeight="false" outlineLevel="0" collapsed="false">
      <c r="A3" s="49" t="s">
        <v>505</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506</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507</v>
      </c>
      <c r="B9" s="62" t="s">
        <v>30</v>
      </c>
      <c r="C9" s="64" t="n">
        <f aca="false">SUM(E9:P9)</f>
        <v>-4388400.21166922</v>
      </c>
      <c r="D9" s="64" t="n">
        <f aca="false">SUM(Q9:AB9)</f>
        <v>-4121188.63571631</v>
      </c>
      <c r="E9" s="65" t="n">
        <f aca="false">PL!E54</f>
        <v>-369611.010645337</v>
      </c>
      <c r="F9" s="65" t="n">
        <f aca="false">PL!F54</f>
        <v>-418177.558624932</v>
      </c>
      <c r="G9" s="65" t="n">
        <f aca="false">PL!G54</f>
        <v>-423051.525927534</v>
      </c>
      <c r="H9" s="65" t="n">
        <f aca="false">PL!H54</f>
        <v>-448978.473443989</v>
      </c>
      <c r="I9" s="65" t="n">
        <f aca="false">PL!I54</f>
        <v>-353145.687932848</v>
      </c>
      <c r="J9" s="65" t="n">
        <f aca="false">PL!J54</f>
        <v>-467837.820963879</v>
      </c>
      <c r="K9" s="65" t="n">
        <f aca="false">PL!K54</f>
        <v>-353379.487255932</v>
      </c>
      <c r="L9" s="65" t="n">
        <f aca="false">PL!L54</f>
        <v>-175248.773034354</v>
      </c>
      <c r="M9" s="65" t="n">
        <f aca="false">PL!M54</f>
        <v>-285118.116892674</v>
      </c>
      <c r="N9" s="65" t="n">
        <f aca="false">PL!N54</f>
        <v>-389923.20983172</v>
      </c>
      <c r="O9" s="65" t="n">
        <f aca="false">PL!O54</f>
        <v>-386359.30002434</v>
      </c>
      <c r="P9" s="65" t="n">
        <f aca="false">PL!P54</f>
        <v>-317569.247091677</v>
      </c>
      <c r="Q9" s="65" t="n">
        <f aca="false">PL!Q54</f>
        <v>-419467.782872655</v>
      </c>
      <c r="R9" s="65" t="n">
        <f aca="false">PL!R54</f>
        <v>-424656.684567895</v>
      </c>
      <c r="S9" s="65" t="n">
        <f aca="false">PL!S54</f>
        <v>-323035.237876854</v>
      </c>
      <c r="T9" s="65" t="n">
        <f aca="false">PL!T54</f>
        <v>-424060.270219029</v>
      </c>
      <c r="U9" s="65" t="n">
        <f aca="false">PL!U54</f>
        <v>-343723.989177943</v>
      </c>
      <c r="V9" s="65" t="n">
        <f aca="false">PL!V54</f>
        <v>-335634.865869001</v>
      </c>
      <c r="W9" s="65" t="n">
        <f aca="false">PL!W54</f>
        <v>-328139.891630226</v>
      </c>
      <c r="X9" s="65" t="n">
        <f aca="false">PL!X54</f>
        <v>-152569.117067804</v>
      </c>
      <c r="Y9" s="65" t="n">
        <f aca="false">PL!Y54</f>
        <v>-358247.25733292</v>
      </c>
      <c r="Z9" s="65" t="n">
        <f aca="false">PL!Z54</f>
        <v>-330454.626991664</v>
      </c>
      <c r="AA9" s="65" t="n">
        <f aca="false">PL!AA54</f>
        <v>-353414.237520372</v>
      </c>
      <c r="AB9" s="65" t="n">
        <f aca="false">PL!AB54</f>
        <v>-327784.674589952</v>
      </c>
    </row>
    <row r="10" customFormat="false" ht="15" hidden="false" customHeight="false" outlineLevel="0" collapsed="false">
      <c r="A10" s="28" t="s">
        <v>508</v>
      </c>
      <c r="B10" s="62"/>
      <c r="C10" s="64" t="n">
        <f aca="false">SUM(E10:P10)</f>
        <v>82736.6538888889</v>
      </c>
      <c r="D10" s="64" t="n">
        <f aca="false">SUM(Q10:AB10)</f>
        <v>108894.858999866</v>
      </c>
      <c r="E10" s="65" t="n">
        <f aca="false">-PL!E48</f>
        <v>6000</v>
      </c>
      <c r="F10" s="65" t="n">
        <f aca="false">-PL!F48</f>
        <v>6140.49305555556</v>
      </c>
      <c r="G10" s="65" t="n">
        <f aca="false">-PL!G48</f>
        <v>6342.45666666667</v>
      </c>
      <c r="H10" s="65" t="n">
        <f aca="false">-PL!H48</f>
        <v>6606.68166666667</v>
      </c>
      <c r="I10" s="65" t="n">
        <f aca="false">-PL!I48</f>
        <v>6808.40722222222</v>
      </c>
      <c r="J10" s="65" t="n">
        <f aca="false">-PL!J48</f>
        <v>6938.78388888889</v>
      </c>
      <c r="K10" s="65" t="n">
        <f aca="false">-PL!K48</f>
        <v>7090.54694444444</v>
      </c>
      <c r="L10" s="65" t="n">
        <f aca="false">-PL!L48</f>
        <v>7152.59</v>
      </c>
      <c r="M10" s="65" t="n">
        <f aca="false">-PL!M48</f>
        <v>7213.28472222222</v>
      </c>
      <c r="N10" s="65" t="n">
        <f aca="false">-PL!N48</f>
        <v>7282.72916666667</v>
      </c>
      <c r="O10" s="65" t="n">
        <f aca="false">-PL!O48</f>
        <v>7485.50694444444</v>
      </c>
      <c r="P10" s="65" t="n">
        <f aca="false">-PL!P48</f>
        <v>7675.17361111111</v>
      </c>
      <c r="Q10" s="65" t="n">
        <f aca="false">-PL!Q48</f>
        <v>7797.55268518519</v>
      </c>
      <c r="R10" s="65" t="n">
        <f aca="false">-PL!R48</f>
        <v>8254.04102608025</v>
      </c>
      <c r="S10" s="65" t="n">
        <f aca="false">-PL!S48</f>
        <v>8444.97459492451</v>
      </c>
      <c r="T10" s="65" t="n">
        <f aca="false">-PL!T48</f>
        <v>8635.88240617195</v>
      </c>
      <c r="U10" s="65" t="n">
        <f aca="false">-PL!U48</f>
        <v>8897.04979377701</v>
      </c>
      <c r="V10" s="65" t="n">
        <f aca="false">-PL!V48</f>
        <v>9025.95280871289</v>
      </c>
      <c r="W10" s="65" t="n">
        <f aca="false">-PL!W48</f>
        <v>9222.01755175607</v>
      </c>
      <c r="X10" s="65" t="n">
        <f aca="false">-PL!X48</f>
        <v>9420.00498568155</v>
      </c>
      <c r="Y10" s="65" t="n">
        <f aca="false">-PL!Y48</f>
        <v>9551.29336567564</v>
      </c>
      <c r="Z10" s="65" t="n">
        <f aca="false">-PL!Z48</f>
        <v>9749.77581926742</v>
      </c>
      <c r="AA10" s="65" t="n">
        <f aca="false">-PL!AA48</f>
        <v>9882.03230747666</v>
      </c>
      <c r="AB10" s="65" t="n">
        <f aca="false">-PL!AB48</f>
        <v>10014.281655157</v>
      </c>
    </row>
    <row r="11" customFormat="false" ht="15" hidden="false" customHeight="false" outlineLevel="0" collapsed="false">
      <c r="A11" s="28" t="s">
        <v>509</v>
      </c>
      <c r="B11" s="62" t="s">
        <v>510</v>
      </c>
      <c r="C11" s="64" t="n">
        <f aca="false">SUM(E11:P11)</f>
        <v>0.00769999966723844</v>
      </c>
      <c r="D11" s="64" t="n">
        <f aca="false">SUM(Q11:AB11)</f>
        <v>0</v>
      </c>
      <c r="E11" s="65" t="n">
        <f aca="false">-((BS!E10-0))</f>
        <v>-0.00130000006174669</v>
      </c>
      <c r="F11" s="65" t="n">
        <f aca="false">-((BS!F10-BS!E10))</f>
        <v>0.00169999996433035</v>
      </c>
      <c r="G11" s="65" t="n">
        <f aca="false">-((BS!G10-BS!F10))</f>
        <v>0.00209999992512167</v>
      </c>
      <c r="H11" s="65" t="n">
        <f aca="false">-((BS!H10-BS!G10))</f>
        <v>0.00189999991562217</v>
      </c>
      <c r="I11" s="65" t="n">
        <f aca="false">-((BS!I10-BS!H10))</f>
        <v>0.00059999997029081</v>
      </c>
      <c r="J11" s="65" t="n">
        <f aca="false">-((BS!J10-BS!I10))</f>
        <v>0.00239999999757856</v>
      </c>
      <c r="K11" s="65" t="n">
        <f aca="false">-((BS!K10-BS!J10))</f>
        <v>-0.00320000003557652</v>
      </c>
      <c r="L11" s="65" t="n">
        <f aca="false">-((BS!L10-BS!K10))</f>
        <v>0.0034999999916181</v>
      </c>
      <c r="M11" s="65" t="n">
        <f aca="false">-((BS!M10-BS!L10))</f>
        <v>-0</v>
      </c>
      <c r="N11" s="65" t="n">
        <f aca="false">-((BS!N10-BS!M10))</f>
        <v>-0</v>
      </c>
      <c r="O11" s="65" t="n">
        <f aca="false">-((BS!O10-BS!N10))</f>
        <v>-0</v>
      </c>
      <c r="P11" s="65" t="n">
        <f aca="false">-((BS!P10-BS!O10))</f>
        <v>-0</v>
      </c>
      <c r="Q11" s="65" t="n">
        <f aca="false">-((BS!Q10-BS!P10))</f>
        <v>-0</v>
      </c>
      <c r="R11" s="65" t="n">
        <f aca="false">-((BS!R10-BS!Q10))</f>
        <v>-0</v>
      </c>
      <c r="S11" s="65" t="n">
        <f aca="false">-((BS!S10-BS!R10))</f>
        <v>-0</v>
      </c>
      <c r="T11" s="65" t="n">
        <f aca="false">-((BS!T10-BS!S10))</f>
        <v>-0</v>
      </c>
      <c r="U11" s="65" t="n">
        <f aca="false">-((BS!U10-BS!T10))</f>
        <v>-0</v>
      </c>
      <c r="V11" s="65" t="n">
        <f aca="false">-((BS!V10-BS!U10))</f>
        <v>-0</v>
      </c>
      <c r="W11" s="65" t="n">
        <f aca="false">-((BS!W10-BS!V10))</f>
        <v>-0</v>
      </c>
      <c r="X11" s="65" t="n">
        <f aca="false">-((BS!X10-BS!W10))</f>
        <v>-0</v>
      </c>
      <c r="Y11" s="65" t="n">
        <f aca="false">-((BS!Y10-BS!X10))</f>
        <v>-0</v>
      </c>
      <c r="Z11" s="65" t="n">
        <f aca="false">-((BS!Z10-BS!Y10))</f>
        <v>-0</v>
      </c>
      <c r="AA11" s="65" t="n">
        <f aca="false">-((BS!AA10-BS!Z10))</f>
        <v>-0</v>
      </c>
      <c r="AB11" s="65" t="n">
        <f aca="false">-((BS!AB10-BS!AA10))</f>
        <v>-0</v>
      </c>
    </row>
    <row r="12" customFormat="false" ht="15" hidden="false" customHeight="false" outlineLevel="0" collapsed="false">
      <c r="A12" s="28" t="s">
        <v>511</v>
      </c>
      <c r="B12" s="62" t="s">
        <v>510</v>
      </c>
      <c r="C12" s="64" t="n">
        <f aca="false">SUM(E12:P12)</f>
        <v>-86054.4014203282</v>
      </c>
      <c r="D12" s="64" t="n">
        <f aca="false">SUM(Q12:AB12)</f>
        <v>-116129.227808182</v>
      </c>
      <c r="E12" s="65" t="n">
        <f aca="false">-((BS!E11-Inputs_Actuals!$C$176)+(BS!E12-Inputs_Actuals!$C$177))</f>
        <v>-57753.97</v>
      </c>
      <c r="F12" s="65" t="n">
        <f aca="false">-((BS!F11-BS!E11)+(BS!F12-BS!E12))</f>
        <v>21312.6799999999</v>
      </c>
      <c r="G12" s="65" t="n">
        <f aca="false">-((BS!G11-BS!F11)+(BS!G12-BS!F12))</f>
        <v>65630.35</v>
      </c>
      <c r="H12" s="65" t="n">
        <f aca="false">-((BS!H11-BS!G11)+(BS!H12-BS!G12))</f>
        <v>-134689.05</v>
      </c>
      <c r="I12" s="65" t="n">
        <f aca="false">-((BS!I11-BS!H11)+(BS!I12-BS!H12))</f>
        <v>9595.46199999994</v>
      </c>
      <c r="J12" s="65" t="n">
        <f aca="false">-((BS!J11-BS!I11)+(BS!J12-BS!I12))</f>
        <v>101000</v>
      </c>
      <c r="K12" s="65" t="n">
        <f aca="false">-((BS!K11-BS!J11)+(BS!K12-BS!J12))</f>
        <v>-217333.33</v>
      </c>
      <c r="L12" s="65" t="n">
        <f aca="false">-((BS!L11-BS!K11)+(BS!L12-BS!K12))</f>
        <v>59833.33</v>
      </c>
      <c r="M12" s="65" t="n">
        <f aca="false">-((BS!M11-BS!L11)+(BS!M12-BS!L12))</f>
        <v>156833.321333333</v>
      </c>
      <c r="N12" s="65" t="n">
        <f aca="false">-((BS!N11-BS!M11)+(BS!N12-BS!M12))</f>
        <v>-201412.06705168</v>
      </c>
      <c r="O12" s="65" t="n">
        <f aca="false">-((BS!O11-BS!N11)+(BS!O12-BS!N12))</f>
        <v>-2185.39659182128</v>
      </c>
      <c r="P12" s="65" t="n">
        <f aca="false">-((BS!P11-BS!O11)+(BS!P12-BS!O12))</f>
        <v>113114.26888984</v>
      </c>
      <c r="Q12" s="65" t="n">
        <f aca="false">-((BS!Q11-BS!P11)+(BS!Q12-BS!P12))</f>
        <v>-197787.317548783</v>
      </c>
      <c r="R12" s="65" t="n">
        <f aca="false">-((BS!R11-BS!Q11)+(BS!R12-BS!Q12))</f>
        <v>-7369.58795293589</v>
      </c>
      <c r="S12" s="65" t="n">
        <f aca="false">-((BS!S11-BS!R11)+(BS!S12-BS!R12))</f>
        <v>102589.520436817</v>
      </c>
      <c r="T12" s="65" t="n">
        <f aca="false">-((BS!T11-BS!S11)+(BS!T12-BS!S12))</f>
        <v>-152117.809435944</v>
      </c>
      <c r="U12" s="65" t="n">
        <f aca="false">-((BS!U11-BS!T11)+(BS!U12-BS!T12))</f>
        <v>-48058.7248485076</v>
      </c>
      <c r="V12" s="65" t="n">
        <f aca="false">-((BS!V11-BS!U11)+(BS!V12-BS!U12))</f>
        <v>194003.009028813</v>
      </c>
      <c r="W12" s="65" t="n">
        <f aca="false">-((BS!W11-BS!V11)+(BS!W12-BS!V12))</f>
        <v>-48955.3364847587</v>
      </c>
      <c r="X12" s="65" t="n">
        <f aca="false">-((BS!X11-BS!W11)+(BS!X12-BS!W12))</f>
        <v>-28637.5605914578</v>
      </c>
      <c r="Y12" s="65" t="n">
        <f aca="false">-((BS!Y11-BS!X11)+(BS!Y12-BS!X12))</f>
        <v>127361.657076868</v>
      </c>
      <c r="Z12" s="65" t="n">
        <f aca="false">-((BS!Z11-BS!Y11)+(BS!Z12-BS!Y12))</f>
        <v>-108678.239638822</v>
      </c>
      <c r="AA12" s="65" t="n">
        <f aca="false">-((BS!AA11-BS!Z11)+(BS!AA12-BS!Z12))</f>
        <v>-52859.060546979</v>
      </c>
      <c r="AB12" s="65" t="n">
        <f aca="false">-((BS!AB11-BS!AA11)+(BS!AB12-BS!AA12))</f>
        <v>104380.222697508</v>
      </c>
    </row>
    <row r="13" customFormat="false" ht="15" hidden="false" customHeight="false" outlineLevel="0" collapsed="false">
      <c r="A13" s="28" t="s">
        <v>512</v>
      </c>
      <c r="B13" s="62" t="s">
        <v>510</v>
      </c>
      <c r="C13" s="64" t="n">
        <f aca="false">SUM(E13:P13)</f>
        <v>-35739.1398669335</v>
      </c>
      <c r="D13" s="64" t="n">
        <f aca="false">SUM(Q13:AB13)</f>
        <v>-14360.464141023</v>
      </c>
      <c r="E13" s="65" t="n">
        <f aca="false">-((BS!E13-Inputs_Actuals!$C$178))</f>
        <v>0</v>
      </c>
      <c r="F13" s="65" t="n">
        <f aca="false">-((BS!F13-BS!E13))</f>
        <v>-7658.4</v>
      </c>
      <c r="G13" s="65" t="n">
        <f aca="false">-((BS!G13-BS!F13))</f>
        <v>7658.4</v>
      </c>
      <c r="H13" s="65" t="n">
        <f aca="false">-((BS!H13-BS!G13))</f>
        <v>-7868.9</v>
      </c>
      <c r="I13" s="65" t="n">
        <f aca="false">-((BS!I13-BS!H13))</f>
        <v>7868.9</v>
      </c>
      <c r="J13" s="65" t="n">
        <f aca="false">-((BS!J13-BS!I13))</f>
        <v>-7328.07</v>
      </c>
      <c r="K13" s="65" t="n">
        <f aca="false">-((BS!K13-BS!J13))</f>
        <v>-22007.14</v>
      </c>
      <c r="L13" s="65" t="n">
        <f aca="false">-((BS!L13-BS!K13))</f>
        <v>7457.23</v>
      </c>
      <c r="M13" s="65" t="n">
        <f aca="false">-((BS!M13-BS!L13))</f>
        <v>-9911.79499</v>
      </c>
      <c r="N13" s="65" t="n">
        <f aca="false">-((BS!N13-BS!M13))</f>
        <v>-27144.6316634</v>
      </c>
      <c r="O13" s="65" t="n">
        <f aca="false">-((BS!O13-BS!N13))</f>
        <v>-13132.0795721914</v>
      </c>
      <c r="P13" s="65" t="n">
        <f aca="false">-((BS!P13-BS!O13))</f>
        <v>36327.3463586579</v>
      </c>
      <c r="Q13" s="65" t="n">
        <f aca="false">-((BS!Q13-BS!P13))</f>
        <v>-12189.45591173</v>
      </c>
      <c r="R13" s="65" t="n">
        <f aca="false">-((BS!R13-BS!Q13))</f>
        <v>-56879.6893439929</v>
      </c>
      <c r="S13" s="65" t="n">
        <f aca="false">-((BS!S13-BS!R13))</f>
        <v>104808.285122656</v>
      </c>
      <c r="T13" s="65" t="n">
        <f aca="false">-((BS!T13-BS!S13))</f>
        <v>-24120.7834253745</v>
      </c>
      <c r="U13" s="65" t="n">
        <f aca="false">-((BS!U13-BS!T13))</f>
        <v>24120.7834253745</v>
      </c>
      <c r="V13" s="65" t="n">
        <f aca="false">-((BS!V13-BS!U13))</f>
        <v>-18997.3098522263</v>
      </c>
      <c r="W13" s="65" t="n">
        <f aca="false">-((BS!W13-BS!V13))</f>
        <v>-36298.5784595545</v>
      </c>
      <c r="X13" s="65" t="n">
        <f aca="false">-((BS!X13-BS!W13))</f>
        <v>14509.2125285673</v>
      </c>
      <c r="Y13" s="65" t="n">
        <f aca="false">-((BS!Y13-BS!X13))</f>
        <v>-23074.1244092422</v>
      </c>
      <c r="Z13" s="65" t="n">
        <f aca="false">-((BS!Z13-BS!Y13))</f>
        <v>-34132.0006576685</v>
      </c>
      <c r="AA13" s="65" t="n">
        <f aca="false">-((BS!AA13-BS!Z13))</f>
        <v>-7875.41795554417</v>
      </c>
      <c r="AB13" s="65" t="n">
        <f aca="false">-((BS!AB13-BS!AA13))</f>
        <v>55768.6147977119</v>
      </c>
    </row>
    <row r="14" customFormat="false" ht="15" hidden="false" customHeight="false" outlineLevel="0" collapsed="false">
      <c r="A14" s="28" t="s">
        <v>513</v>
      </c>
      <c r="B14" s="62" t="s">
        <v>510</v>
      </c>
      <c r="C14" s="64" t="n">
        <f aca="false">SUM(E14:P14)</f>
        <v>-201829.27210099</v>
      </c>
      <c r="D14" s="64" t="n">
        <f aca="false">SUM(Q14:AB14)</f>
        <v>-174175.866282468</v>
      </c>
      <c r="E14" s="65" t="n">
        <f aca="false">-((BS!E14-Inputs_Actuals!$C$179))</f>
        <v>-89210.6082</v>
      </c>
      <c r="F14" s="65" t="n">
        <f aca="false">-((BS!F14-BS!E14))</f>
        <v>-93117.4902</v>
      </c>
      <c r="G14" s="65" t="n">
        <f aca="false">-((BS!G14-BS!F14))</f>
        <v>-94080.7265999999</v>
      </c>
      <c r="H14" s="65" t="n">
        <f aca="false">-((BS!H14-BS!G14))</f>
        <v>-97638.9456</v>
      </c>
      <c r="I14" s="65" t="n">
        <f aca="false">-((BS!I14-BS!H14))</f>
        <v>-96313.8624</v>
      </c>
      <c r="J14" s="65" t="n">
        <f aca="false">-((BS!J14-BS!I14))</f>
        <v>-96551.2884</v>
      </c>
      <c r="K14" s="65" t="n">
        <f aca="false">-((BS!K14-BS!J14))</f>
        <v>838828.4476</v>
      </c>
      <c r="L14" s="65" t="n">
        <f aca="false">-((BS!L14-BS!K14))</f>
        <v>-94514.8638000001</v>
      </c>
      <c r="M14" s="65" t="n">
        <f aca="false">-((BS!M14-BS!L14))</f>
        <v>-93308.6032344666</v>
      </c>
      <c r="N14" s="65" t="n">
        <f aca="false">-((BS!N14-BS!M14))</f>
        <v>-95319.4832138461</v>
      </c>
      <c r="O14" s="65" t="n">
        <f aca="false">-((BS!O14-BS!N14))</f>
        <v>-95309.2600965974</v>
      </c>
      <c r="P14" s="65" t="n">
        <f aca="false">-((BS!P14-BS!O14))</f>
        <v>-95292.5879560798</v>
      </c>
      <c r="Q14" s="65" t="n">
        <f aca="false">-((BS!Q14-BS!P14))</f>
        <v>-105368.748594889</v>
      </c>
      <c r="R14" s="65" t="n">
        <f aca="false">-((BS!R14-BS!Q14))</f>
        <v>-105308.747147387</v>
      </c>
      <c r="S14" s="65" t="n">
        <f aca="false">-((BS!S14-BS!R14))</f>
        <v>-108121.209012948</v>
      </c>
      <c r="T14" s="65" t="n">
        <f aca="false">-((BS!T14-BS!S14))</f>
        <v>-108098.271842797</v>
      </c>
      <c r="U14" s="65" t="n">
        <f aca="false">-((BS!U14-BS!T14))</f>
        <v>-108075.025803669</v>
      </c>
      <c r="V14" s="65" t="n">
        <f aca="false">-((BS!V14-BS!U14))</f>
        <v>-109364.170198746</v>
      </c>
      <c r="W14" s="65" t="n">
        <f aca="false">-((BS!W14-BS!V14))</f>
        <v>-109353.62104578</v>
      </c>
      <c r="X14" s="65" t="n">
        <f aca="false">-((BS!X14-BS!W14))</f>
        <v>-109342.966085429</v>
      </c>
      <c r="Y14" s="65" t="n">
        <f aca="false">-((BS!Y14-BS!X14))</f>
        <v>1025384.02291102</v>
      </c>
      <c r="Z14" s="65" t="n">
        <f aca="false">-((BS!Z14-BS!Y14))</f>
        <v>-112191.402288772</v>
      </c>
      <c r="AA14" s="65" t="n">
        <f aca="false">-((BS!AA14-BS!Z14))</f>
        <v>-112167.66532041</v>
      </c>
      <c r="AB14" s="65" t="n">
        <f aca="false">-((BS!AB14-BS!AA14))</f>
        <v>-112168.061852657</v>
      </c>
    </row>
    <row r="15" customFormat="false" ht="15" hidden="false" customHeight="false" outlineLevel="0" collapsed="false">
      <c r="A15" s="28" t="s">
        <v>514</v>
      </c>
      <c r="B15" s="62" t="s">
        <v>510</v>
      </c>
      <c r="C15" s="64" t="n">
        <f aca="false">SUM(E15:P15)</f>
        <v>-123.048500000004</v>
      </c>
      <c r="D15" s="64" t="n">
        <f aca="false">SUM(Q15:AB15)</f>
        <v>-459.561407628717</v>
      </c>
      <c r="E15" s="65" t="n">
        <f aca="false">-((BS!E16-0)+(BS!E17-Inputs_Actuals!$C$180)+(BS!E18-Inputs_Actuals!$C$181)+(BS!E15-Inputs_Actuals!$C$175))</f>
        <v>-68520.158</v>
      </c>
      <c r="F15" s="65" t="n">
        <f aca="false">-((BS!F16-BS!E16)+(BS!F17-BS!E17)+(BS!F18-BS!E18)+(BS!F15-BS!E15))</f>
        <v>32338.2683333333</v>
      </c>
      <c r="G15" s="65" t="n">
        <f aca="false">-((BS!G16-BS!F16)+(BS!G17-BS!F17)+(BS!G18-BS!F18)+(BS!G15-BS!F15))</f>
        <v>28377.684</v>
      </c>
      <c r="H15" s="65" t="n">
        <f aca="false">-((BS!H16-BS!G16)+(BS!H17-BS!G17)+(BS!H18-BS!G18)+(BS!H15-BS!G15))</f>
        <v>-62478.6233333333</v>
      </c>
      <c r="I15" s="65" t="n">
        <f aca="false">-((BS!I16-BS!H16)+(BS!I17-BS!H17)+(BS!I18-BS!H18)+(BS!I15-BS!H15))</f>
        <v>35630.978</v>
      </c>
      <c r="J15" s="65" t="n">
        <f aca="false">-((BS!J16-BS!I16)+(BS!J17-BS!I17)+(BS!J18-BS!I18)+(BS!J15-BS!I15))</f>
        <v>29519.5936666667</v>
      </c>
      <c r="K15" s="65" t="n">
        <f aca="false">-((BS!K16-BS!J16)+(BS!K17-BS!J17)+(BS!K18-BS!J18)+(BS!K15-BS!J15))</f>
        <v>-61820.7356666667</v>
      </c>
      <c r="L15" s="65" t="n">
        <f aca="false">-((BS!L16-BS!K16)+(BS!L17-BS!K17)+(BS!L18-BS!K18)+(BS!L15-BS!K15))</f>
        <v>34664.1053333333</v>
      </c>
      <c r="M15" s="65" t="n">
        <f aca="false">-((BS!M16-BS!L16)+(BS!M17-BS!L17)+(BS!M18-BS!L18)+(BS!M15-BS!L15))</f>
        <v>33737.9976666667</v>
      </c>
      <c r="N15" s="65" t="n">
        <f aca="false">-((BS!N16-BS!M16)+(BS!N17-BS!M17)+(BS!N18-BS!M18)+(BS!N15-BS!M15))</f>
        <v>-71960</v>
      </c>
      <c r="O15" s="65" t="n">
        <f aca="false">-((BS!O16-BS!N16)+(BS!O17-BS!N17)+(BS!O18-BS!N18)+(BS!O15-BS!N15))</f>
        <v>34389.4</v>
      </c>
      <c r="P15" s="65" t="n">
        <f aca="false">-((BS!P16-BS!O16)+(BS!P17-BS!O17)+(BS!P18-BS!O18)+(BS!P15-BS!O15))</f>
        <v>35998.4415</v>
      </c>
      <c r="Q15" s="65" t="n">
        <f aca="false">-((BS!Q16-BS!P16)+(BS!Q17-BS!P17)+(BS!Q18-BS!P18)+(BS!Q15-BS!P15))</f>
        <v>-79773.0452245833</v>
      </c>
      <c r="R15" s="65" t="n">
        <f aca="false">-((BS!R16-BS!Q16)+(BS!R17-BS!Q17)+(BS!R18-BS!Q18)+(BS!R15-BS!Q15))</f>
        <v>42736.9767299087</v>
      </c>
      <c r="S15" s="65" t="n">
        <f aca="false">-((BS!S16-BS!R16)+(BS!S17-BS!R17)+(BS!S18-BS!R18)+(BS!S15-BS!R15))</f>
        <v>30914.7650006258</v>
      </c>
      <c r="T15" s="65" t="n">
        <f aca="false">-((BS!T16-BS!S16)+(BS!T17-BS!S17)+(BS!T18-BS!S18)+(BS!T15-BS!S15))</f>
        <v>-67850.7094178215</v>
      </c>
      <c r="U15" s="65" t="n">
        <f aca="false">-((BS!U16-BS!T16)+(BS!U17-BS!T17)+(BS!U18-BS!T18)+(BS!U15-BS!T15))</f>
        <v>38778.2518682746</v>
      </c>
      <c r="V15" s="65" t="n">
        <f aca="false">-((BS!V16-BS!U16)+(BS!V17-BS!U17)+(BS!V18-BS!U18)+(BS!V15-BS!U15))</f>
        <v>28550.2966752132</v>
      </c>
      <c r="W15" s="65" t="n">
        <f aca="false">-((BS!W16-BS!V16)+(BS!W17-BS!V17)+(BS!W18-BS!V18)+(BS!W15-BS!V15))</f>
        <v>-65452.1039192044</v>
      </c>
      <c r="X15" s="65" t="n">
        <f aca="false">-((BS!X16-BS!W16)+(BS!X17-BS!W17)+(BS!X18-BS!W18)+(BS!X15-BS!W15))</f>
        <v>36830.9619017624</v>
      </c>
      <c r="Y15" s="65" t="n">
        <f aca="false">-((BS!Y16-BS!X16)+(BS!Y17-BS!X17)+(BS!Y18-BS!X18)+(BS!Y15-BS!X15))</f>
        <v>32854.3360141486</v>
      </c>
      <c r="Z15" s="65" t="n">
        <f aca="false">-((BS!Z16-BS!Y16)+(BS!Z17-BS!Y17)+(BS!Z18-BS!Y18)+(BS!Z15-BS!Y15))</f>
        <v>-67733.0888281389</v>
      </c>
      <c r="AA15" s="65" t="n">
        <f aca="false">-((BS!AA16-BS!Z16)+(BS!AA17-BS!Z17)+(BS!AA18-BS!Z18)+(BS!AA15-BS!Z15))</f>
        <v>34850.2120737093</v>
      </c>
      <c r="AB15" s="65" t="n">
        <f aca="false">-((BS!AB16-BS!AA16)+(BS!AB17-BS!AA17)+(BS!AB18-BS!AA18)+(BS!AB15-BS!AA15))</f>
        <v>34833.5857184766</v>
      </c>
    </row>
    <row r="16" customFormat="false" ht="15" hidden="false" customHeight="false" outlineLevel="0" collapsed="false">
      <c r="A16" s="28" t="s">
        <v>515</v>
      </c>
      <c r="B16" s="62" t="s">
        <v>510</v>
      </c>
      <c r="C16" s="64" t="n">
        <f aca="false">SUM(E16:P16)</f>
        <v>124524.643736437</v>
      </c>
      <c r="D16" s="64" t="n">
        <f aca="false">SUM(Q16:AB16)</f>
        <v>-45825.1042194044</v>
      </c>
      <c r="E16" s="65" t="n">
        <f aca="false">((BS!E22-Inputs_Actuals!$C$186)+(BS!E23-Inputs_Actuals!$C$187)+(BS!E24-Inputs_Actuals!$C$188)+(BS!E25-Inputs_Actuals!$C$189))</f>
        <v>22701.3998249979</v>
      </c>
      <c r="F16" s="65" t="n">
        <f aca="false">((BS!F22-BS!E22)+(BS!F23-BS!E23)+(BS!F24-BS!E24)+(BS!F25-BS!E25))</f>
        <v>6671.86565364543</v>
      </c>
      <c r="G16" s="65" t="n">
        <f aca="false">((BS!G22-BS!F22)+(BS!G23-BS!F23)+(BS!G24-BS!F24)+(BS!G25-BS!F25))</f>
        <v>42443.9170816612</v>
      </c>
      <c r="H16" s="65" t="n">
        <f aca="false">((BS!H22-BS!G22)+(BS!H23-BS!G23)+(BS!H24-BS!G24)+(BS!H25-BS!G25))</f>
        <v>-39364.3786542815</v>
      </c>
      <c r="I16" s="65" t="n">
        <f aca="false">((BS!I22-BS!H22)+(BS!I23-BS!H23)+(BS!I24-BS!H24)+(BS!I25-BS!H25))</f>
        <v>-5298.34304780325</v>
      </c>
      <c r="J16" s="65" t="n">
        <f aca="false">((BS!J22-BS!I22)+(BS!J23-BS!I23)+(BS!J24-BS!I24)+(BS!J25-BS!I25))</f>
        <v>31351.2713496468</v>
      </c>
      <c r="K16" s="65" t="n">
        <f aca="false">((BS!K22-BS!J22)+(BS!K23-BS!J23)+(BS!K24-BS!J24)+(BS!K25-BS!J25))</f>
        <v>-25457.0643699057</v>
      </c>
      <c r="L16" s="65" t="n">
        <f aca="false">((BS!L22-BS!K22)+(BS!L23-BS!K23)+(BS!L24-BS!K24)+(BS!L25-BS!K25))</f>
        <v>-12273.4367538585</v>
      </c>
      <c r="M16" s="65" t="n">
        <f aca="false">((BS!M22-BS!L22)+(BS!M23-BS!L23)+(BS!M24-BS!L24)+(BS!M25-BS!L25))</f>
        <v>9440.66335926213</v>
      </c>
      <c r="N16" s="65" t="n">
        <f aca="false">((BS!N22-BS!M22)+(BS!N23-BS!M23)+(BS!N24-BS!M24)+(BS!N25-BS!M25))</f>
        <v>8348.73193113356</v>
      </c>
      <c r="O16" s="65" t="n">
        <f aca="false">((BS!O22-BS!N22)+(BS!O23-BS!N23)+(BS!O24-BS!N24)+(BS!O25-BS!N25))</f>
        <v>-4701.94913431578</v>
      </c>
      <c r="P16" s="65" t="n">
        <f aca="false">((BS!P22-BS!O22)+(BS!P23-BS!O23)+(BS!P24-BS!O24)+(BS!P25-BS!O25))</f>
        <v>90661.9664962548</v>
      </c>
      <c r="Q16" s="65" t="n">
        <f aca="false">((BS!Q22-BS!P22)+(BS!Q23-BS!P23)+(BS!Q24-BS!P24)+(BS!Q25-BS!P25))</f>
        <v>-16335.0057220927</v>
      </c>
      <c r="R16" s="65" t="n">
        <f aca="false">((BS!R22-BS!Q22)+(BS!R23-BS!Q23)+(BS!R24-BS!Q24)+(BS!R25-BS!Q25))</f>
        <v>-46284.8904560442</v>
      </c>
      <c r="S16" s="65" t="n">
        <f aca="false">((BS!S22-BS!R22)+(BS!S23-BS!R23)+(BS!S24-BS!R24)+(BS!S25-BS!R25))</f>
        <v>36051.9794113514</v>
      </c>
      <c r="T16" s="65" t="n">
        <f aca="false">((BS!T22-BS!S22)+(BS!T23-BS!S23)+(BS!T24-BS!S24)+(BS!T25-BS!S25))</f>
        <v>-16185.3227290203</v>
      </c>
      <c r="U16" s="65" t="n">
        <f aca="false">((BS!U22-BS!T22)+(BS!U23-BS!T23)+(BS!U24-BS!T24)+(BS!U25-BS!T25))</f>
        <v>-18848.9972631296</v>
      </c>
      <c r="V16" s="65" t="n">
        <f aca="false">((BS!V22-BS!U22)+(BS!V23-BS!U23)+(BS!V24-BS!U24)+(BS!V25-BS!U25))</f>
        <v>38651.0755891826</v>
      </c>
      <c r="W16" s="65" t="n">
        <f aca="false">((BS!W22-BS!V22)+(BS!W23-BS!V23)+(BS!W24-BS!V24)+(BS!W25-BS!V25))</f>
        <v>-23105.2609535436</v>
      </c>
      <c r="X16" s="65" t="n">
        <f aca="false">((BS!X22-BS!W22)+(BS!X23-BS!W23)+(BS!X24-BS!W24)+(BS!X25-BS!W25))</f>
        <v>-18341.5711722664</v>
      </c>
      <c r="Y16" s="65" t="n">
        <f aca="false">((BS!Y22-BS!X22)+(BS!Y23-BS!X23)+(BS!Y24-BS!X24)+(BS!Y25-BS!X25))</f>
        <v>21845.5930276074</v>
      </c>
      <c r="Z16" s="65" t="n">
        <f aca="false">((BS!Z22-BS!Y22)+(BS!Z23-BS!Y23)+(BS!Z24-BS!Y24)+(BS!Z25-BS!Y25))</f>
        <v>-2476.04689942315</v>
      </c>
      <c r="AA16" s="65" t="n">
        <f aca="false">((BS!AA22-BS!Z22)+(BS!AA23-BS!Z23)+(BS!AA24-BS!Z24)+(BS!AA25-BS!Z25))</f>
        <v>-4264.13552519651</v>
      </c>
      <c r="AB16" s="65" t="n">
        <f aca="false">((BS!AB22-BS!AA22)+(BS!AB23-BS!AA23)+(BS!AB24-BS!AA24)+(BS!AB25-BS!AA25))</f>
        <v>3467.47847317065</v>
      </c>
    </row>
    <row r="17" customFormat="false" ht="15" hidden="false" customHeight="false" outlineLevel="0" collapsed="false">
      <c r="A17" s="28" t="s">
        <v>516</v>
      </c>
      <c r="B17" s="62" t="s">
        <v>510</v>
      </c>
      <c r="C17" s="64" t="n">
        <f aca="false">SUM(E17:P17)</f>
        <v>77787.2092465912</v>
      </c>
      <c r="D17" s="64" t="n">
        <f aca="false">SUM(Q17:AB17)</f>
        <v>105869.564241332</v>
      </c>
      <c r="E17" s="65" t="n">
        <f aca="false">((BS!E26-Inputs_Actuals!$C$190)+(BS!E27-Inputs_Actuals!$C$191)+(BS!E28-0))</f>
        <v>22424.4940909091</v>
      </c>
      <c r="F17" s="65" t="n">
        <f aca="false">((BS!F26-BS!E26)+(BS!F27-BS!E27)+(BS!F28-BS!E28))</f>
        <v>20355.5613636363</v>
      </c>
      <c r="G17" s="65" t="n">
        <f aca="false">((BS!G26-BS!F26)+(BS!G27-BS!F27)+(BS!G28-BS!F28))</f>
        <v>-64449.4036363636</v>
      </c>
      <c r="H17" s="65" t="n">
        <f aca="false">((BS!H26-BS!G26)+(BS!H27-BS!G27)+(BS!H28-BS!G28))</f>
        <v>120769.182727273</v>
      </c>
      <c r="I17" s="65" t="n">
        <f aca="false">((BS!I26-BS!H26)+(BS!I27-BS!H27)+(BS!I28-BS!H28))</f>
        <v>-20933.4090909091</v>
      </c>
      <c r="J17" s="65" t="n">
        <f aca="false">((BS!J26-BS!I26)+(BS!J27-BS!I27)+(BS!J28-BS!I28))</f>
        <v>-80135.7359090909</v>
      </c>
      <c r="K17" s="65" t="n">
        <f aca="false">((BS!K26-BS!J26)+(BS!K27-BS!J27)+(BS!K28-BS!J28))</f>
        <v>159520.834090909</v>
      </c>
      <c r="L17" s="65" t="n">
        <f aca="false">((BS!L26-BS!K26)+(BS!L27-BS!K27)+(BS!L28-BS!K28))</f>
        <v>-78363.4127272727</v>
      </c>
      <c r="M17" s="65" t="n">
        <f aca="false">((BS!M26-BS!L26)+(BS!M27-BS!L27)+(BS!M28-BS!L28))</f>
        <v>-153777.594481257</v>
      </c>
      <c r="N17" s="65" t="n">
        <f aca="false">((BS!N26-BS!M26)+(BS!N27-BS!M27)+(BS!N28-BS!M28))</f>
        <v>190216.759067614</v>
      </c>
      <c r="O17" s="65" t="n">
        <f aca="false">((BS!O26-BS!N26)+(BS!O27-BS!N27)+(BS!O28-BS!N28))</f>
        <v>17167.0397202374</v>
      </c>
      <c r="P17" s="65" t="n">
        <f aca="false">((BS!P26-BS!O26)+(BS!P27-BS!O27)+(BS!P28-BS!O28))</f>
        <v>-55007.1059690942</v>
      </c>
      <c r="Q17" s="65" t="n">
        <f aca="false">((BS!Q26-BS!P26)+(BS!Q27-BS!P27)+(BS!Q28-BS!P28))</f>
        <v>165722.677442437</v>
      </c>
      <c r="R17" s="65" t="n">
        <f aca="false">((BS!R26-BS!Q26)+(BS!R27-BS!Q27)+(BS!R28-BS!Q28))</f>
        <v>98290.0275804647</v>
      </c>
      <c r="S17" s="65" t="n">
        <f aca="false">((BS!S26-BS!R26)+(BS!S27-BS!R27)+(BS!S28-BS!R28))</f>
        <v>-202927.887681147</v>
      </c>
      <c r="T17" s="65" t="n">
        <f aca="false">((BS!T26-BS!S26)+(BS!T27-BS!S27)+(BS!T28-BS!S28))</f>
        <v>182472.606887601</v>
      </c>
      <c r="U17" s="65" t="n">
        <f aca="false">((BS!U26-BS!T26)+(BS!U27-BS!T27)+(BS!U28-BS!T28))</f>
        <v>61832.2043843656</v>
      </c>
      <c r="V17" s="65" t="n">
        <f aca="false">((BS!V26-BS!U26)+(BS!V27-BS!U27)+(BS!V28-BS!U28))</f>
        <v>-156538.92717933</v>
      </c>
      <c r="W17" s="65" t="n">
        <f aca="false">((BS!W26-BS!V26)+(BS!W27-BS!V27)+(BS!W28-BS!V28))</f>
        <v>118132.692029958</v>
      </c>
      <c r="X17" s="65" t="n">
        <f aca="false">((BS!X26-BS!W26)+(BS!X27-BS!W27)+(BS!X28-BS!W28))</f>
        <v>-25089.4210799518</v>
      </c>
      <c r="Y17" s="65" t="n">
        <f aca="false">((BS!Y26-BS!X26)+(BS!Y27-BS!X27)+(BS!Y28-BS!X28))</f>
        <v>-92448.9533149293</v>
      </c>
      <c r="Z17" s="65" t="n">
        <f aca="false">((BS!Z26-BS!Y26)+(BS!Z27-BS!Y27)+(BS!Z28-BS!Y28))</f>
        <v>60335.1440058756</v>
      </c>
      <c r="AA17" s="65" t="n">
        <f aca="false">((BS!AA26-BS!Z26)+(BS!AA27-BS!Z27)+(BS!AA28-BS!Z28))</f>
        <v>1935.00474481506</v>
      </c>
      <c r="AB17" s="65" t="n">
        <f aca="false">((BS!AB26-BS!AA26)+(BS!AB27-BS!AA27)+(BS!AB28-BS!AA28))</f>
        <v>-105845.603578826</v>
      </c>
    </row>
    <row r="18" customFormat="false" ht="15" hidden="false" customHeight="false" outlineLevel="0" collapsed="false">
      <c r="A18" s="28" t="s">
        <v>517</v>
      </c>
      <c r="B18" s="62" t="s">
        <v>510</v>
      </c>
      <c r="C18" s="64" t="n">
        <f aca="false">SUM(E18:P18)</f>
        <v>60267.9782415551</v>
      </c>
      <c r="D18" s="64" t="n">
        <f aca="false">SUM(Q18:AB18)</f>
        <v>62617.793672462</v>
      </c>
      <c r="E18" s="65" t="n">
        <f aca="false">((BS!E31-Inputs_Actuals!$C$194)+(BS!E32-Inputs_Actuals!$C$195)+(BS!E33-Inputs_Actuals!$C$196)+(BS!E34-Inputs_Actuals!$C$197)+(BS!E35-Inputs_Actuals!$C$198)+(BS!E36-Inputs_Actuals!$C$199))</f>
        <v>50050.4329294301</v>
      </c>
      <c r="F18" s="65" t="n">
        <f aca="false">((BS!F31-BS!E31)+(BS!F32-BS!E32)+(BS!F33-BS!E33)+(BS!F34-BS!E34)+(BS!F35-BS!E35)+(BS!F36-BS!E36))</f>
        <v>59338.9087520941</v>
      </c>
      <c r="G18" s="65" t="n">
        <f aca="false">((BS!G31-BS!F31)+(BS!G32-BS!F32)+(BS!G33-BS!F33)+(BS!G34-BS!F34)+(BS!G35-BS!F35)+(BS!G36-BS!F36))</f>
        <v>21432.9341155702</v>
      </c>
      <c r="H18" s="65" t="n">
        <f aca="false">((BS!H31-BS!G31)+(BS!H32-BS!G32)+(BS!H33-BS!G33)+(BS!H34-BS!G34)+(BS!H35-BS!G35)+(BS!H36-BS!G36))</f>
        <v>40284.853304331</v>
      </c>
      <c r="I18" s="65" t="n">
        <f aca="false">((BS!I31-BS!H31)+(BS!I32-BS!H32)+(BS!I33-BS!H33)+(BS!I34-BS!H34)+(BS!I35-BS!H35)+(BS!I36-BS!H36))</f>
        <v>-34901.9693506618</v>
      </c>
      <c r="J18" s="65" t="n">
        <f aca="false">((BS!J31-BS!I31)+(BS!J32-BS!I32)+(BS!J33-BS!I33)+(BS!J34-BS!I34)+(BS!J35-BS!I35)+(BS!J36-BS!I36))</f>
        <v>43359.9661528674</v>
      </c>
      <c r="K18" s="65" t="n">
        <f aca="false">((BS!K31-BS!J31)+(BS!K32-BS!J32)+(BS!K33-BS!J33)+(BS!K34-BS!J34)+(BS!K35-BS!J35)+(BS!K36-BS!J36))</f>
        <v>-25646.0622616186</v>
      </c>
      <c r="L18" s="65" t="n">
        <f aca="false">((BS!L31-BS!K31)+(BS!L32-BS!K32)+(BS!L33-BS!K33)+(BS!L34-BS!K34)+(BS!L35-BS!K35)+(BS!L36-BS!K36))</f>
        <v>-208620.757181252</v>
      </c>
      <c r="M18" s="65" t="n">
        <f aca="false">((BS!M31-BS!L31)+(BS!M32-BS!L32)+(BS!M33-BS!L33)+(BS!M34-BS!L34)+(BS!M35-BS!L35)+(BS!M36-BS!L36))</f>
        <v>25049.4675784977</v>
      </c>
      <c r="N18" s="65" t="n">
        <f aca="false">((BS!N31-BS!M31)+(BS!N32-BS!M32)+(BS!N33-BS!M33)+(BS!N34-BS!M34)+(BS!N35-BS!M35)+(BS!N36-BS!M36))</f>
        <v>51070.458289061</v>
      </c>
      <c r="O18" s="65" t="n">
        <f aca="false">((BS!O31-BS!N31)+(BS!O32-BS!N32)+(BS!O33-BS!N33)+(BS!O34-BS!N34)+(BS!O35-BS!N35)+(BS!O36-BS!N36))</f>
        <v>51904.9520979063</v>
      </c>
      <c r="P18" s="65" t="n">
        <f aca="false">((BS!P31-BS!O31)+(BS!P32-BS!O32)+(BS!P33-BS!O33)+(BS!P34-BS!O34)+(BS!P35-BS!O35)+(BS!P36-BS!O36))</f>
        <v>-13055.2061846701</v>
      </c>
      <c r="Q18" s="65" t="n">
        <f aca="false">((BS!Q31-BS!P31)+(BS!Q32-BS!P32)+(BS!Q33-BS!P33)+(BS!Q34-BS!P34)+(BS!Q35-BS!P35)+(BS!Q36-BS!P36))</f>
        <v>60277.4435486402</v>
      </c>
      <c r="R18" s="65" t="n">
        <f aca="false">((BS!R31-BS!Q31)+(BS!R32-BS!Q32)+(BS!R33-BS!Q33)+(BS!R34-BS!Q34)+(BS!R35-BS!Q35)+(BS!R36-BS!Q36))</f>
        <v>61713.225933687</v>
      </c>
      <c r="S18" s="65" t="n">
        <f aca="false">((BS!S31-BS!R31)+(BS!S32-BS!R32)+(BS!S33-BS!R33)+(BS!S34-BS!R34)+(BS!S35-BS!R35)+(BS!S36-BS!R36))</f>
        <v>22259.7116679188</v>
      </c>
      <c r="T18" s="65" t="n">
        <f aca="false">((BS!T31-BS!S31)+(BS!T32-BS!S32)+(BS!T33-BS!S33)+(BS!T34-BS!S34)+(BS!T35-BS!S35)+(BS!T36-BS!S36))</f>
        <v>24295.2890187557</v>
      </c>
      <c r="U18" s="65" t="n">
        <f aca="false">((BS!U31-BS!T31)+(BS!U32-BS!T32)+(BS!U33-BS!T33)+(BS!U34-BS!T34)+(BS!U35-BS!T35)+(BS!U36-BS!T36))</f>
        <v>-24677.2519845777</v>
      </c>
      <c r="V18" s="65" t="n">
        <f aca="false">((BS!V31-BS!U31)+(BS!V32-BS!U32)+(BS!V33-BS!U33)+(BS!V34-BS!U34)+(BS!V35-BS!U35)+(BS!V36-BS!U36))</f>
        <v>52410.3570638745</v>
      </c>
      <c r="W18" s="65" t="n">
        <f aca="false">((BS!W31-BS!V31)+(BS!W32-BS!V32)+(BS!W33-BS!V33)+(BS!W34-BS!V34)+(BS!W35-BS!V35)+(BS!W36-BS!V36))</f>
        <v>-51699.9884828923</v>
      </c>
      <c r="X18" s="65" t="n">
        <f aca="false">((BS!X31-BS!W31)+(BS!X32-BS!W32)+(BS!X33-BS!W33)+(BS!X34-BS!W34)+(BS!X35-BS!W35)+(BS!X36-BS!W36))</f>
        <v>-219273.283812621</v>
      </c>
      <c r="Y18" s="65" t="n">
        <f aca="false">((BS!Y31-BS!X31)+(BS!Y32-BS!X32)+(BS!Y33-BS!X33)+(BS!Y34-BS!X34)+(BS!Y35-BS!X35)+(BS!Y36-BS!X36))</f>
        <v>42241.296848657</v>
      </c>
      <c r="Z18" s="65" t="n">
        <f aca="false">((BS!Z31-BS!Y31)+(BS!Z32-BS!Y32)+(BS!Z33-BS!Y33)+(BS!Z34-BS!Y34)+(BS!Z35-BS!Y35)+(BS!Z36-BS!Y36))</f>
        <v>51644.0460312013</v>
      </c>
      <c r="AA18" s="65" t="n">
        <f aca="false">((BS!AA31-BS!Z31)+(BS!AA32-BS!Z32)+(BS!AA33-BS!Z33)+(BS!AA34-BS!Z34)+(BS!AA35-BS!Z35)+(BS!AA36-BS!Z36))</f>
        <v>53598.5672738167</v>
      </c>
      <c r="AB18" s="65" t="n">
        <f aca="false">((BS!AB31-BS!AA31)+(BS!AB32-BS!AA32)+(BS!AB33-BS!AA33)+(BS!AB34-BS!AA34)+(BS!AB35-BS!AA35)+(BS!AB36-BS!AA36))</f>
        <v>-10171.619433998</v>
      </c>
    </row>
    <row r="19" customFormat="false" ht="15" hidden="false" customHeight="false" outlineLevel="0" collapsed="false">
      <c r="A19" s="28" t="s">
        <v>518</v>
      </c>
      <c r="B19" s="62" t="s">
        <v>510</v>
      </c>
      <c r="C19" s="64" t="n">
        <f aca="false">SUM(E19:P19)</f>
        <v>24728.1911099436</v>
      </c>
      <c r="D19" s="64" t="n">
        <f aca="false">SUM(Q19:AB19)</f>
        <v>12082.5919352526</v>
      </c>
      <c r="E19" s="65" t="n">
        <f aca="false">((BS!E29-Inputs_Actuals!$C$192)+(BS!E30-Inputs_Actuals!$C$193)+(BS!E37-Inputs_Actuals!$C$200)+(BS!E39-0))</f>
        <v>-17215.9803666667</v>
      </c>
      <c r="F19" s="65" t="n">
        <f aca="false">((BS!F29-BS!E29)+(BS!F30-BS!E30)+(BS!F37-BS!E37)+(BS!F39-BS!E39))</f>
        <v>20081.3899666667</v>
      </c>
      <c r="G19" s="65" t="n">
        <f aca="false">((BS!G29-BS!F29)+(BS!G30-BS!F30)+(BS!G37-BS!F37)+(BS!G39-BS!F39))</f>
        <v>2380.6479</v>
      </c>
      <c r="H19" s="65" t="n">
        <f aca="false">((BS!H29-BS!G29)+(BS!H30-BS!G30)+(BS!H37-BS!G37)+(BS!H39-BS!G39))</f>
        <v>-12050.9985666667</v>
      </c>
      <c r="I19" s="65" t="n">
        <f aca="false">((BS!I29-BS!H29)+(BS!I30-BS!H30)+(BS!I37-BS!H37)+(BS!I39-BS!H39))</f>
        <v>27342.1074</v>
      </c>
      <c r="J19" s="65" t="n">
        <f aca="false">((BS!J29-BS!I29)+(BS!J30-BS!I30)+(BS!J37-BS!I37)+(BS!J39-BS!I39))</f>
        <v>-4244.23406666668</v>
      </c>
      <c r="K19" s="65" t="n">
        <f aca="false">((BS!K29-BS!J29)+(BS!K30-BS!J30)+(BS!K37-BS!J37)+(BS!K39-BS!J39))</f>
        <v>-17397.9151333333</v>
      </c>
      <c r="L19" s="65" t="n">
        <f aca="false">((BS!L29-BS!K29)+(BS!L30-BS!K30)+(BS!L37-BS!K37)+(BS!L39-BS!K39))</f>
        <v>24387.7031666667</v>
      </c>
      <c r="M19" s="65" t="n">
        <f aca="false">((BS!M29-BS!L29)+(BS!M30-BS!L30)+(BS!M37-BS!L37)+(BS!M39-BS!L39))</f>
        <v>-328.759744848085</v>
      </c>
      <c r="N19" s="65" t="n">
        <f aca="false">((BS!N29-BS!M29)+(BS!N30-BS!M30)+(BS!N37-BS!M37)+(BS!N39-BS!M39))</f>
        <v>-14317.3085120212</v>
      </c>
      <c r="O19" s="65" t="n">
        <f aca="false">((BS!O29-BS!N29)+(BS!O30-BS!N30)+(BS!O37-BS!N37)+(BS!O39-BS!N39))</f>
        <v>22854.0878543778</v>
      </c>
      <c r="P19" s="65" t="n">
        <f aca="false">((BS!P29-BS!O29)+(BS!P30-BS!O30)+(BS!P37-BS!O37)+(BS!P39-BS!O39))</f>
        <v>-6762.54878756489</v>
      </c>
      <c r="Q19" s="65" t="n">
        <f aca="false">((BS!Q29-BS!P29)+(BS!Q30-BS!P30)+(BS!Q37-BS!P37)+(BS!Q39-BS!P39))</f>
        <v>-14412.4773057801</v>
      </c>
      <c r="R19" s="65" t="n">
        <f aca="false">((BS!R29-BS!Q29)+(BS!R30-BS!Q30)+(BS!R37-BS!Q37)+(BS!R39-BS!Q39))</f>
        <v>12973.7631674443</v>
      </c>
      <c r="S19" s="65" t="n">
        <f aca="false">((BS!S29-BS!R29)+(BS!S30-BS!R30)+(BS!S37-BS!R37)+(BS!S39-BS!R39))</f>
        <v>16983.3089579221</v>
      </c>
      <c r="T19" s="65" t="n">
        <f aca="false">((BS!T29-BS!S29)+(BS!T30-BS!S30)+(BS!T37-BS!S37)+(BS!T39-BS!S39))</f>
        <v>-11831.0749280109</v>
      </c>
      <c r="U19" s="65" t="n">
        <f aca="false">((BS!U29-BS!T29)+(BS!U30-BS!T30)+(BS!U37-BS!T37)+(BS!U39-BS!T39))</f>
        <v>31466.6074987834</v>
      </c>
      <c r="V19" s="65" t="n">
        <f aca="false">((BS!V29-BS!U29)+(BS!V30-BS!U30)+(BS!V37-BS!U37)+(BS!V39-BS!U39))</f>
        <v>-9486.10118924697</v>
      </c>
      <c r="W19" s="65" t="n">
        <f aca="false">((BS!W29-BS!V29)+(BS!W30-BS!V30)+(BS!W37-BS!V37)+(BS!W39-BS!V39))</f>
        <v>-33861.9507520871</v>
      </c>
      <c r="X19" s="65" t="n">
        <f aca="false">((BS!X29-BS!W29)+(BS!X30-BS!W30)+(BS!X37-BS!W37)+(BS!X39-BS!W39))</f>
        <v>18374.7848150903</v>
      </c>
      <c r="Y19" s="65" t="n">
        <f aca="false">((BS!Y29-BS!X29)+(BS!Y30-BS!X30)+(BS!Y37-BS!X37)+(BS!Y39-BS!X39))</f>
        <v>3441.62155066372</v>
      </c>
      <c r="Z19" s="65" t="n">
        <f aca="false">((BS!Z29-BS!Y29)+(BS!Z30-BS!Y30)+(BS!Z37-BS!Y37)+(BS!Z39-BS!Y39))</f>
        <v>-18924.6703214992</v>
      </c>
      <c r="AA19" s="65" t="n">
        <f aca="false">((BS!AA29-BS!Z29)+(BS!AA30-BS!Z30)+(BS!AA37-BS!Z37)+(BS!AA39-BS!Z39))</f>
        <v>23312.8759320433</v>
      </c>
      <c r="AB19" s="65" t="n">
        <f aca="false">((BS!AB29-BS!AA29)+(BS!AB30-BS!AA30)+(BS!AB37-BS!AA37)+(BS!AB39-BS!AA39))</f>
        <v>-5954.09549007018</v>
      </c>
    </row>
    <row r="20" customFormat="false" ht="15" hidden="false" customHeight="false" outlineLevel="0" collapsed="false">
      <c r="A20" s="28" t="s">
        <v>519</v>
      </c>
      <c r="B20" s="62" t="s">
        <v>510</v>
      </c>
      <c r="C20" s="64" t="n">
        <f aca="false">SUM(E20:P20)</f>
        <v>0</v>
      </c>
      <c r="D20" s="64" t="n">
        <f aca="false">SUM(Q20:AB20)</f>
        <v>0</v>
      </c>
      <c r="E20" s="65" t="n">
        <f aca="false">((BS!E38-0))</f>
        <v>0</v>
      </c>
      <c r="F20" s="65" t="n">
        <f aca="false">((BS!F38-BS!E38))</f>
        <v>0</v>
      </c>
      <c r="G20" s="65" t="n">
        <f aca="false">((BS!G38-BS!F38))</f>
        <v>0</v>
      </c>
      <c r="H20" s="65" t="n">
        <f aca="false">((BS!H38-BS!G38))</f>
        <v>0</v>
      </c>
      <c r="I20" s="65" t="n">
        <f aca="false">((BS!I38-BS!H38))</f>
        <v>0</v>
      </c>
      <c r="J20" s="65" t="n">
        <f aca="false">((BS!J38-BS!I38))</f>
        <v>47755.4918815664</v>
      </c>
      <c r="K20" s="65" t="n">
        <f aca="false">((BS!K38-BS!J38))</f>
        <v>22315.4549521027</v>
      </c>
      <c r="L20" s="65" t="n">
        <f aca="false">((BS!L38-BS!K38))</f>
        <v>27832.9606967372</v>
      </c>
      <c r="M20" s="65" t="n">
        <f aca="false">((BS!M38-BS!L38))</f>
        <v>1118.03910894193</v>
      </c>
      <c r="N20" s="65" t="n">
        <f aca="false">((BS!N38-BS!M38))</f>
        <v>0</v>
      </c>
      <c r="O20" s="65" t="n">
        <f aca="false">((BS!O38-BS!N38))</f>
        <v>0</v>
      </c>
      <c r="P20" s="65" t="n">
        <f aca="false">((BS!P38-BS!O38))</f>
        <v>-99021.9466393482</v>
      </c>
      <c r="Q20" s="65" t="n">
        <f aca="false">((BS!Q38-BS!P38))</f>
        <v>0</v>
      </c>
      <c r="R20" s="65" t="n">
        <f aca="false">((BS!R38-BS!Q38))</f>
        <v>0</v>
      </c>
      <c r="S20" s="65" t="n">
        <f aca="false">((BS!S38-BS!R38))</f>
        <v>0</v>
      </c>
      <c r="T20" s="65" t="n">
        <f aca="false">((BS!T38-BS!S38))</f>
        <v>0</v>
      </c>
      <c r="U20" s="65" t="n">
        <f aca="false">((BS!U38-BS!T38))</f>
        <v>0</v>
      </c>
      <c r="V20" s="65" t="n">
        <f aca="false">((BS!V38-BS!U38))</f>
        <v>0</v>
      </c>
      <c r="W20" s="65" t="n">
        <f aca="false">((BS!W38-BS!V38))</f>
        <v>0</v>
      </c>
      <c r="X20" s="65" t="n">
        <f aca="false">((BS!X38-BS!W38))</f>
        <v>0</v>
      </c>
      <c r="Y20" s="65" t="n">
        <f aca="false">((BS!Y38-BS!X38))</f>
        <v>0</v>
      </c>
      <c r="Z20" s="65" t="n">
        <f aca="false">((BS!Z38-BS!Y38))</f>
        <v>0</v>
      </c>
      <c r="AA20" s="65" t="n">
        <f aca="false">((BS!AA38-BS!Z38))</f>
        <v>0</v>
      </c>
      <c r="AB20" s="65" t="n">
        <f aca="false">((BS!AB38-BS!AA38))</f>
        <v>0</v>
      </c>
    </row>
    <row r="21" customFormat="false" ht="15" hidden="false" customHeight="false" outlineLevel="0" collapsed="false">
      <c r="A21" s="58" t="s">
        <v>520</v>
      </c>
      <c r="B21" s="59"/>
      <c r="C21" s="60" t="n">
        <f aca="false">SUM(E21:P21)</f>
        <v>-4342101.38963405</v>
      </c>
      <c r="D21" s="60" t="n">
        <f aca="false">SUM(Q21:AB21)</f>
        <v>-4182674.05072611</v>
      </c>
      <c r="E21" s="60" t="n">
        <f aca="false">E9+E10+E11+E12+E13+E14+E15+E16+E17+E18+E19+E20</f>
        <v>-501135.401666667</v>
      </c>
      <c r="F21" s="60" t="n">
        <f aca="false">F9+F10+F11+F12+F13+F14+F15+F16+F17+F18+F19+F20</f>
        <v>-352714.28</v>
      </c>
      <c r="G21" s="60" t="n">
        <f aca="false">G9+G10+G11+G12+G13+G14+G15+G16+G17+G18+G19+G20</f>
        <v>-407315.2643</v>
      </c>
      <c r="H21" s="60" t="n">
        <f aca="false">H9+H10+H11+H12+H13+H14+H15+H16+H17+H18+H19+H20</f>
        <v>-635408.65</v>
      </c>
      <c r="I21" s="60" t="n">
        <f aca="false">I9+I10+I11+I12+I13+I14+I15+I16+I17+I18+I19+I20</f>
        <v>-423347.4166</v>
      </c>
      <c r="J21" s="60" t="n">
        <f aca="false">J9+J10+J11+J12+J13+J14+J15+J16+J17+J18+J19+J20</f>
        <v>-396172.04</v>
      </c>
      <c r="K21" s="60" t="n">
        <f aca="false">K9+K10+K11+K12+K13+K14+K15+K16+K17+K18+K19+K20</f>
        <v>304713.5457</v>
      </c>
      <c r="L21" s="60" t="n">
        <f aca="false">L9+L10+L11+L12+L13+L14+L15+L16+L17+L18+L19+L20</f>
        <v>-407693.3208</v>
      </c>
      <c r="M21" s="60" t="n">
        <f aca="false">M9+M10+M11+M12+M13+M14+M15+M16+M17+M18+M19+M20</f>
        <v>-309052.095574322</v>
      </c>
      <c r="N21" s="60" t="n">
        <f aca="false">N9+N10+N11+N12+N13+N14+N15+N16+N17+N18+N19+N20</f>
        <v>-543158.021818192</v>
      </c>
      <c r="O21" s="60" t="n">
        <f aca="false">O9+O10+O11+O12+O13+O14+O15+O16+O17+O18+O19+O20</f>
        <v>-367886.9988023</v>
      </c>
      <c r="P21" s="60" t="n">
        <f aca="false">P9+P10+P11+P12+P13+P14+P15+P16+P17+P18+P19+P20</f>
        <v>-302931.445772571</v>
      </c>
      <c r="Q21" s="60" t="n">
        <f aca="false">Q9+Q10+Q11+Q12+Q13+Q14+Q15+Q16+Q17+Q18+Q19+Q20</f>
        <v>-611536.159504251</v>
      </c>
      <c r="R21" s="60" t="n">
        <f aca="false">R9+R10+R11+R12+R13+R14+R15+R16+R17+R18+R19+R20</f>
        <v>-416531.565030671</v>
      </c>
      <c r="S21" s="60" t="n">
        <f aca="false">S9+S10+S11+S12+S13+S14+S15+S16+S17+S18+S19+S20</f>
        <v>-312031.789378733</v>
      </c>
      <c r="T21" s="60" t="n">
        <f aca="false">T9+T10+T11+T12+T13+T14+T15+T16+T17+T18+T19+T20</f>
        <v>-588860.463685469</v>
      </c>
      <c r="U21" s="60" t="n">
        <f aca="false">U9+U10+U11+U12+U13+U14+U15+U16+U17+U18+U19+U20</f>
        <v>-378289.092107251</v>
      </c>
      <c r="V21" s="60" t="n">
        <f aca="false">V9+V10+V11+V12+V13+V14+V15+V16+V17+V18+V19+V20</f>
        <v>-307380.683122753</v>
      </c>
      <c r="W21" s="60" t="n">
        <f aca="false">W9+W10+W11+W12+W13+W14+W15+W16+W17+W18+W19+W20</f>
        <v>-569512.022146332</v>
      </c>
      <c r="X21" s="60" t="n">
        <f aca="false">X9+X10+X11+X12+X13+X14+X15+X16+X17+X18+X19+X20</f>
        <v>-474118.955578429</v>
      </c>
      <c r="Y21" s="60" t="n">
        <f aca="false">Y9+Y10+Y11+Y12+Y13+Y14+Y15+Y16+Y17+Y18+Y19+Y20</f>
        <v>788909.485737545</v>
      </c>
      <c r="Z21" s="60" t="n">
        <f aca="false">Z9+Z10+Z11+Z12+Z13+Z14+Z15+Z16+Z17+Z18+Z19+Z20</f>
        <v>-552861.109769643</v>
      </c>
      <c r="AA21" s="60" t="n">
        <f aca="false">AA9+AA10+AA11+AA12+AA13+AA14+AA15+AA16+AA17+AA18+AA19+AA20</f>
        <v>-407001.824536641</v>
      </c>
      <c r="AB21" s="60" t="n">
        <f aca="false">AB9+AB10+AB11+AB12+AB13+AB14+AB15+AB16+AB17+AB18+AB19+AB20</f>
        <v>-353459.871603479</v>
      </c>
    </row>
    <row r="22" customFormat="false" ht="15" hidden="false" customHeight="false" outlineLevel="0" collapsed="false">
      <c r="A22" s="22" t="s">
        <v>521</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customFormat="false" ht="15" hidden="false" customHeight="false" outlineLevel="0" collapsed="false">
      <c r="A23" s="28" t="s">
        <v>522</v>
      </c>
      <c r="B23" s="62" t="s">
        <v>79</v>
      </c>
      <c r="C23" s="64" t="n">
        <f aca="false">SUM(E23:P23)</f>
        <v>-64711.8966666667</v>
      </c>
      <c r="D23" s="64" t="n">
        <f aca="false">SUM(Q23:AB23)</f>
        <v>-84583.1155342921</v>
      </c>
      <c r="E23" s="65" t="n">
        <f aca="false">-Fixed_Assets!E8</f>
        <v>-5057.75</v>
      </c>
      <c r="F23" s="65" t="n">
        <f aca="false">-Fixed_Assets!F8</f>
        <v>-7270.69</v>
      </c>
      <c r="G23" s="65" t="n">
        <f aca="false">-Fixed_Assets!G8</f>
        <v>-9512.1</v>
      </c>
      <c r="H23" s="65" t="n">
        <f aca="false">-Fixed_Assets!H8</f>
        <v>-7262.12</v>
      </c>
      <c r="I23" s="65" t="n">
        <f aca="false">-Fixed_Assets!I8</f>
        <v>-4693.56</v>
      </c>
      <c r="J23" s="65" t="n">
        <f aca="false">-Fixed_Assets!J8</f>
        <v>-5463.47</v>
      </c>
      <c r="K23" s="65" t="n">
        <f aca="false">-Fixed_Assets!K8</f>
        <v>-2233.55</v>
      </c>
      <c r="L23" s="65" t="n">
        <f aca="false">-Fixed_Assets!L8</f>
        <v>-2185.01</v>
      </c>
      <c r="M23" s="65" t="n">
        <f aca="false">-Fixed_Assets!M8</f>
        <v>-2500</v>
      </c>
      <c r="N23" s="65" t="n">
        <f aca="false">-Fixed_Assets!N8</f>
        <v>-7300</v>
      </c>
      <c r="O23" s="65" t="n">
        <f aca="false">-Fixed_Assets!O8</f>
        <v>-6828</v>
      </c>
      <c r="P23" s="65" t="n">
        <f aca="false">-Fixed_Assets!P8</f>
        <v>-4405.64666666667</v>
      </c>
      <c r="Q23" s="65" t="n">
        <f aca="false">-Fixed_Assets!Q8</f>
        <v>-16433.5802722222</v>
      </c>
      <c r="R23" s="65" t="n">
        <f aca="false">-Fixed_Assets!R8</f>
        <v>-6873.60847839352</v>
      </c>
      <c r="S23" s="65" t="n">
        <f aca="false">-Fixed_Assets!S8</f>
        <v>-6872.68120490764</v>
      </c>
      <c r="T23" s="65" t="n">
        <f aca="false">-Fixed_Assets!T8</f>
        <v>-9402.02595378218</v>
      </c>
      <c r="U23" s="65" t="n">
        <f aca="false">-Fixed_Assets!U8</f>
        <v>-4640.50853769174</v>
      </c>
      <c r="V23" s="65" t="n">
        <f aca="false">-Fixed_Assets!V8</f>
        <v>-7058.33074955452</v>
      </c>
      <c r="W23" s="65" t="n">
        <f aca="false">-Fixed_Assets!W8</f>
        <v>-7127.54762131738</v>
      </c>
      <c r="X23" s="65" t="n">
        <f aca="false">-Fixed_Assets!X8</f>
        <v>-4726.38167978717</v>
      </c>
      <c r="Y23" s="65" t="n">
        <f aca="false">-Fixed_Assets!Y8</f>
        <v>-7145.36832930398</v>
      </c>
      <c r="Z23" s="65" t="n">
        <f aca="false">-Fixed_Assets!Z8</f>
        <v>-4761.23357553291</v>
      </c>
      <c r="AA23" s="65" t="n">
        <f aca="false">-Fixed_Assets!AA8</f>
        <v>-4760.97651649135</v>
      </c>
      <c r="AB23" s="65" t="n">
        <f aca="false">-Fixed_Assets!AB8</f>
        <v>-4780.87261530755</v>
      </c>
    </row>
    <row r="24" customFormat="false" ht="15" hidden="false" customHeight="false" outlineLevel="0" collapsed="false">
      <c r="A24" s="58" t="s">
        <v>523</v>
      </c>
      <c r="B24" s="59"/>
      <c r="C24" s="60" t="n">
        <f aca="false">SUM(E24:P24)</f>
        <v>-64711.8966666667</v>
      </c>
      <c r="D24" s="60" t="n">
        <f aca="false">SUM(Q24:AB24)</f>
        <v>-84583.1155342921</v>
      </c>
      <c r="E24" s="60" t="n">
        <f aca="false">E23</f>
        <v>-5057.75</v>
      </c>
      <c r="F24" s="60" t="n">
        <f aca="false">F23</f>
        <v>-7270.69</v>
      </c>
      <c r="G24" s="60" t="n">
        <f aca="false">G23</f>
        <v>-9512.1</v>
      </c>
      <c r="H24" s="60" t="n">
        <f aca="false">H23</f>
        <v>-7262.12</v>
      </c>
      <c r="I24" s="60" t="n">
        <f aca="false">I23</f>
        <v>-4693.56</v>
      </c>
      <c r="J24" s="60" t="n">
        <f aca="false">J23</f>
        <v>-5463.47</v>
      </c>
      <c r="K24" s="60" t="n">
        <f aca="false">K23</f>
        <v>-2233.55</v>
      </c>
      <c r="L24" s="60" t="n">
        <f aca="false">L23</f>
        <v>-2185.01</v>
      </c>
      <c r="M24" s="60" t="n">
        <f aca="false">M23</f>
        <v>-2500</v>
      </c>
      <c r="N24" s="60" t="n">
        <f aca="false">N23</f>
        <v>-7300</v>
      </c>
      <c r="O24" s="60" t="n">
        <f aca="false">O23</f>
        <v>-6828</v>
      </c>
      <c r="P24" s="60" t="n">
        <f aca="false">P23</f>
        <v>-4405.64666666667</v>
      </c>
      <c r="Q24" s="60" t="n">
        <f aca="false">Q23</f>
        <v>-16433.5802722222</v>
      </c>
      <c r="R24" s="60" t="n">
        <f aca="false">R23</f>
        <v>-6873.60847839352</v>
      </c>
      <c r="S24" s="60" t="n">
        <f aca="false">S23</f>
        <v>-6872.68120490764</v>
      </c>
      <c r="T24" s="60" t="n">
        <f aca="false">T23</f>
        <v>-9402.02595378218</v>
      </c>
      <c r="U24" s="60" t="n">
        <f aca="false">U23</f>
        <v>-4640.50853769174</v>
      </c>
      <c r="V24" s="60" t="n">
        <f aca="false">V23</f>
        <v>-7058.33074955452</v>
      </c>
      <c r="W24" s="60" t="n">
        <f aca="false">W23</f>
        <v>-7127.54762131738</v>
      </c>
      <c r="X24" s="60" t="n">
        <f aca="false">X23</f>
        <v>-4726.38167978717</v>
      </c>
      <c r="Y24" s="60" t="n">
        <f aca="false">Y23</f>
        <v>-7145.36832930398</v>
      </c>
      <c r="Z24" s="60" t="n">
        <f aca="false">Z23</f>
        <v>-4761.23357553291</v>
      </c>
      <c r="AA24" s="60" t="n">
        <f aca="false">AA23</f>
        <v>-4760.97651649135</v>
      </c>
      <c r="AB24" s="60" t="n">
        <f aca="false">AB23</f>
        <v>-4780.87261530755</v>
      </c>
    </row>
    <row r="25" customFormat="false" ht="15" hidden="false" customHeight="false" outlineLevel="0" collapsed="false">
      <c r="A25" s="22" t="s">
        <v>524</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row>
    <row r="26" customFormat="false" ht="15" hidden="false" customHeight="false" outlineLevel="0" collapsed="false">
      <c r="A26" s="58" t="s">
        <v>525</v>
      </c>
      <c r="B26" s="59"/>
      <c r="C26" s="60" t="n">
        <f aca="false">SUM(E26:P26)</f>
        <v>0</v>
      </c>
      <c r="D26" s="60" t="n">
        <f aca="false">SUM(Q26:AB26)</f>
        <v>0</v>
      </c>
      <c r="E26" s="60" t="n">
        <f aca="false">0</f>
        <v>0</v>
      </c>
      <c r="F26" s="60" t="n">
        <f aca="false">0</f>
        <v>0</v>
      </c>
      <c r="G26" s="60" t="n">
        <f aca="false">0</f>
        <v>0</v>
      </c>
      <c r="H26" s="60" t="n">
        <f aca="false">0</f>
        <v>0</v>
      </c>
      <c r="I26" s="60" t="n">
        <f aca="false">0</f>
        <v>0</v>
      </c>
      <c r="J26" s="60" t="n">
        <f aca="false">0</f>
        <v>0</v>
      </c>
      <c r="K26" s="60" t="n">
        <f aca="false">0</f>
        <v>0</v>
      </c>
      <c r="L26" s="60" t="n">
        <f aca="false">0</f>
        <v>0</v>
      </c>
      <c r="M26" s="60" t="n">
        <f aca="false">0</f>
        <v>0</v>
      </c>
      <c r="N26" s="60" t="n">
        <f aca="false">0</f>
        <v>0</v>
      </c>
      <c r="O26" s="60" t="n">
        <f aca="false">0</f>
        <v>0</v>
      </c>
      <c r="P26" s="60" t="n">
        <f aca="false">0</f>
        <v>0</v>
      </c>
      <c r="Q26" s="60" t="n">
        <f aca="false">0</f>
        <v>0</v>
      </c>
      <c r="R26" s="60" t="n">
        <f aca="false">0</f>
        <v>0</v>
      </c>
      <c r="S26" s="60" t="n">
        <f aca="false">0</f>
        <v>0</v>
      </c>
      <c r="T26" s="60" t="n">
        <f aca="false">0</f>
        <v>0</v>
      </c>
      <c r="U26" s="60" t="n">
        <f aca="false">0</f>
        <v>0</v>
      </c>
      <c r="V26" s="60" t="n">
        <f aca="false">0</f>
        <v>0</v>
      </c>
      <c r="W26" s="60" t="n">
        <f aca="false">0</f>
        <v>0</v>
      </c>
      <c r="X26" s="60" t="n">
        <f aca="false">0</f>
        <v>0</v>
      </c>
      <c r="Y26" s="60" t="n">
        <f aca="false">0</f>
        <v>0</v>
      </c>
      <c r="Z26" s="60" t="n">
        <f aca="false">0</f>
        <v>0</v>
      </c>
      <c r="AA26" s="60" t="n">
        <f aca="false">0</f>
        <v>0</v>
      </c>
      <c r="AB26" s="60" t="n">
        <f aca="false">0</f>
        <v>0</v>
      </c>
    </row>
    <row r="27" customFormat="false" ht="15" hidden="false" customHeight="false" outlineLevel="0" collapsed="false">
      <c r="A27" s="22" t="s">
        <v>526</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row>
    <row r="28" customFormat="false" ht="15" hidden="false" customHeight="false" outlineLevel="0" collapsed="false">
      <c r="A28" s="58" t="s">
        <v>527</v>
      </c>
      <c r="B28" s="59"/>
      <c r="C28" s="60" t="n">
        <f aca="false">SUM(E28:P28)</f>
        <v>-4406813.28630072</v>
      </c>
      <c r="D28" s="60" t="n">
        <f aca="false">SUM(Q28:AB28)</f>
        <v>-4267257.1662604</v>
      </c>
      <c r="E28" s="60" t="n">
        <f aca="false">E21+E24+E26</f>
        <v>-506193.151666667</v>
      </c>
      <c r="F28" s="60" t="n">
        <f aca="false">F21+F24+F26</f>
        <v>-359984.97</v>
      </c>
      <c r="G28" s="60" t="n">
        <f aca="false">G21+G24+G26</f>
        <v>-416827.3643</v>
      </c>
      <c r="H28" s="60" t="n">
        <f aca="false">H21+H24+H26</f>
        <v>-642670.77</v>
      </c>
      <c r="I28" s="60" t="n">
        <f aca="false">I21+I24+I26</f>
        <v>-428040.9766</v>
      </c>
      <c r="J28" s="60" t="n">
        <f aca="false">J21+J24+J26</f>
        <v>-401635.51</v>
      </c>
      <c r="K28" s="60" t="n">
        <f aca="false">K21+K24+K26</f>
        <v>302479.9957</v>
      </c>
      <c r="L28" s="60" t="n">
        <f aca="false">L21+L24+L26</f>
        <v>-409878.3308</v>
      </c>
      <c r="M28" s="60" t="n">
        <f aca="false">M21+M24+M26</f>
        <v>-311552.095574322</v>
      </c>
      <c r="N28" s="60" t="n">
        <f aca="false">N21+N24+N26</f>
        <v>-550458.021818192</v>
      </c>
      <c r="O28" s="60" t="n">
        <f aca="false">O21+O24+O26</f>
        <v>-374714.9988023</v>
      </c>
      <c r="P28" s="60" t="n">
        <f aca="false">P21+P24+P26</f>
        <v>-307337.092439237</v>
      </c>
      <c r="Q28" s="60" t="n">
        <f aca="false">Q21+Q24+Q26</f>
        <v>-627969.739776473</v>
      </c>
      <c r="R28" s="60" t="n">
        <f aca="false">R21+R24+R26</f>
        <v>-423405.173509064</v>
      </c>
      <c r="S28" s="60" t="n">
        <f aca="false">S21+S24+S26</f>
        <v>-318904.47058364</v>
      </c>
      <c r="T28" s="60" t="n">
        <f aca="false">T21+T24+T26</f>
        <v>-598262.489639251</v>
      </c>
      <c r="U28" s="60" t="n">
        <f aca="false">U21+U24+U26</f>
        <v>-382929.600644943</v>
      </c>
      <c r="V28" s="60" t="n">
        <f aca="false">V21+V24+V26</f>
        <v>-314439.013872308</v>
      </c>
      <c r="W28" s="60" t="n">
        <f aca="false">W21+W24+W26</f>
        <v>-576639.56976765</v>
      </c>
      <c r="X28" s="60" t="n">
        <f aca="false">X21+X24+X26</f>
        <v>-478845.337258216</v>
      </c>
      <c r="Y28" s="60" t="n">
        <f aca="false">Y21+Y24+Y26</f>
        <v>781764.117408241</v>
      </c>
      <c r="Z28" s="60" t="n">
        <f aca="false">Z21+Z24+Z26</f>
        <v>-557622.343345176</v>
      </c>
      <c r="AA28" s="60" t="n">
        <f aca="false">AA21+AA24+AA26</f>
        <v>-411762.801053133</v>
      </c>
      <c r="AB28" s="60" t="n">
        <f aca="false">AB21+AB24+AB26</f>
        <v>-358240.744218787</v>
      </c>
    </row>
    <row r="29" customFormat="false" ht="15" hidden="false" customHeight="false" outlineLevel="0" collapsed="false">
      <c r="A29" s="28" t="s">
        <v>528</v>
      </c>
      <c r="B29" s="62"/>
      <c r="E29" s="65" t="n">
        <f aca="false">Inputs_Actuals!$C$174</f>
        <v>12200000</v>
      </c>
      <c r="F29" s="73" t="n">
        <f aca="false">E30</f>
        <v>11693806.8483333</v>
      </c>
      <c r="G29" s="73" t="n">
        <f aca="false">F30</f>
        <v>11333821.8783333</v>
      </c>
      <c r="H29" s="73" t="n">
        <f aca="false">G30</f>
        <v>10916994.5140333</v>
      </c>
      <c r="I29" s="73" t="n">
        <f aca="false">H30</f>
        <v>10274323.7440333</v>
      </c>
      <c r="J29" s="73" t="n">
        <f aca="false">I30</f>
        <v>9846282.76743333</v>
      </c>
      <c r="K29" s="73" t="n">
        <f aca="false">J30</f>
        <v>9444647.25743333</v>
      </c>
      <c r="L29" s="73" t="n">
        <f aca="false">K30</f>
        <v>9747127.25313333</v>
      </c>
      <c r="M29" s="73" t="n">
        <f aca="false">L30</f>
        <v>9337248.92233333</v>
      </c>
      <c r="N29" s="73" t="n">
        <f aca="false">M30</f>
        <v>9025696.82675901</v>
      </c>
      <c r="O29" s="73" t="n">
        <f aca="false">N30</f>
        <v>8475238.80494082</v>
      </c>
      <c r="P29" s="73" t="n">
        <f aca="false">O30</f>
        <v>8100523.80613852</v>
      </c>
      <c r="Q29" s="73" t="n">
        <f aca="false">P30</f>
        <v>7793186.71369928</v>
      </c>
      <c r="R29" s="73" t="n">
        <f aca="false">Q30</f>
        <v>7165216.97392281</v>
      </c>
      <c r="S29" s="73" t="n">
        <f aca="false">R30</f>
        <v>6741811.80041374</v>
      </c>
      <c r="T29" s="73" t="n">
        <f aca="false">S30</f>
        <v>6422907.3298301</v>
      </c>
      <c r="U29" s="73" t="n">
        <f aca="false">T30</f>
        <v>5824644.84019085</v>
      </c>
      <c r="V29" s="73" t="n">
        <f aca="false">U30</f>
        <v>5441715.23954591</v>
      </c>
      <c r="W29" s="73" t="n">
        <f aca="false">V30</f>
        <v>5127276.2256736</v>
      </c>
      <c r="X29" s="73" t="n">
        <f aca="false">W30</f>
        <v>4550636.65590596</v>
      </c>
      <c r="Y29" s="73" t="n">
        <f aca="false">X30</f>
        <v>4071791.31864774</v>
      </c>
      <c r="Z29" s="73" t="n">
        <f aca="false">Y30</f>
        <v>4853555.43605598</v>
      </c>
      <c r="AA29" s="73" t="n">
        <f aca="false">Z30</f>
        <v>4295933.0927108</v>
      </c>
      <c r="AB29" s="73" t="n">
        <f aca="false">AA30</f>
        <v>3884170.29165767</v>
      </c>
    </row>
    <row r="30" customFormat="false" ht="15" hidden="false" customHeight="false" outlineLevel="0" collapsed="false">
      <c r="A30" s="58" t="s">
        <v>529</v>
      </c>
      <c r="B30" s="59"/>
      <c r="C30" s="60" t="n">
        <f aca="false">P30</f>
        <v>7793186.71369928</v>
      </c>
      <c r="D30" s="60" t="n">
        <f aca="false">AB30</f>
        <v>3525929.54743888</v>
      </c>
      <c r="E30" s="60" t="n">
        <f aca="false">E29+E28</f>
        <v>11693806.8483333</v>
      </c>
      <c r="F30" s="60" t="n">
        <f aca="false">F29+F28</f>
        <v>11333821.8783333</v>
      </c>
      <c r="G30" s="60" t="n">
        <f aca="false">G29+G28</f>
        <v>10916994.5140333</v>
      </c>
      <c r="H30" s="60" t="n">
        <f aca="false">H29+H28</f>
        <v>10274323.7440333</v>
      </c>
      <c r="I30" s="60" t="n">
        <f aca="false">I29+I28</f>
        <v>9846282.76743333</v>
      </c>
      <c r="J30" s="60" t="n">
        <f aca="false">J29+J28</f>
        <v>9444647.25743333</v>
      </c>
      <c r="K30" s="60" t="n">
        <f aca="false">K29+K28</f>
        <v>9747127.25313333</v>
      </c>
      <c r="L30" s="60" t="n">
        <f aca="false">L29+L28</f>
        <v>9337248.92233333</v>
      </c>
      <c r="M30" s="60" t="n">
        <f aca="false">M29+M28</f>
        <v>9025696.82675901</v>
      </c>
      <c r="N30" s="60" t="n">
        <f aca="false">N29+N28</f>
        <v>8475238.80494082</v>
      </c>
      <c r="O30" s="60" t="n">
        <f aca="false">O29+O28</f>
        <v>8100523.80613852</v>
      </c>
      <c r="P30" s="60" t="n">
        <f aca="false">P29+P28</f>
        <v>7793186.71369928</v>
      </c>
      <c r="Q30" s="60" t="n">
        <f aca="false">Q29+Q28</f>
        <v>7165216.97392281</v>
      </c>
      <c r="R30" s="60" t="n">
        <f aca="false">R29+R28</f>
        <v>6741811.80041374</v>
      </c>
      <c r="S30" s="60" t="n">
        <f aca="false">S29+S28</f>
        <v>6422907.3298301</v>
      </c>
      <c r="T30" s="60" t="n">
        <f aca="false">T29+T28</f>
        <v>5824644.84019085</v>
      </c>
      <c r="U30" s="60" t="n">
        <f aca="false">U29+U28</f>
        <v>5441715.23954591</v>
      </c>
      <c r="V30" s="60" t="n">
        <f aca="false">V29+V28</f>
        <v>5127276.2256736</v>
      </c>
      <c r="W30" s="60" t="n">
        <f aca="false">W29+W28</f>
        <v>4550636.65590596</v>
      </c>
      <c r="X30" s="60" t="n">
        <f aca="false">X29+X28</f>
        <v>4071791.31864774</v>
      </c>
      <c r="Y30" s="60" t="n">
        <f aca="false">Y29+Y28</f>
        <v>4853555.43605598</v>
      </c>
      <c r="Z30" s="60" t="n">
        <f aca="false">Z29+Z28</f>
        <v>4295933.0927108</v>
      </c>
      <c r="AA30" s="60" t="n">
        <f aca="false">AA29+AA28</f>
        <v>3884170.29165767</v>
      </c>
      <c r="AB30" s="60" t="n">
        <f aca="false">AB29+AB28</f>
        <v>3525929.54743888</v>
      </c>
    </row>
    <row r="31" customFormat="false" ht="15" hidden="false" customHeight="false" outlineLevel="0" collapsed="false">
      <c r="A31" s="28" t="s">
        <v>530</v>
      </c>
      <c r="B31" s="62" t="s">
        <v>531</v>
      </c>
      <c r="C31" s="64" t="n">
        <f aca="false">SUM(E31:P31)</f>
        <v>4406813.28630072</v>
      </c>
      <c r="D31" s="64" t="n">
        <f aca="false">SUM(Q31:AB31)</f>
        <v>4267257.1662604</v>
      </c>
      <c r="E31" s="73" t="n">
        <f aca="false">-E28</f>
        <v>506193.151666667</v>
      </c>
      <c r="F31" s="73" t="n">
        <f aca="false">-F28</f>
        <v>359984.97</v>
      </c>
      <c r="G31" s="73" t="n">
        <f aca="false">-G28</f>
        <v>416827.3643</v>
      </c>
      <c r="H31" s="73" t="n">
        <f aca="false">-H28</f>
        <v>642670.77</v>
      </c>
      <c r="I31" s="73" t="n">
        <f aca="false">-I28</f>
        <v>428040.9766</v>
      </c>
      <c r="J31" s="73" t="n">
        <f aca="false">-J28</f>
        <v>401635.51</v>
      </c>
      <c r="K31" s="73" t="n">
        <f aca="false">-K28</f>
        <v>-302479.9957</v>
      </c>
      <c r="L31" s="73" t="n">
        <f aca="false">-L28</f>
        <v>409878.3308</v>
      </c>
      <c r="M31" s="73" t="n">
        <f aca="false">-M28</f>
        <v>311552.095574322</v>
      </c>
      <c r="N31" s="73" t="n">
        <f aca="false">-N28</f>
        <v>550458.021818192</v>
      </c>
      <c r="O31" s="73" t="n">
        <f aca="false">-O28</f>
        <v>374714.9988023</v>
      </c>
      <c r="P31" s="73" t="n">
        <f aca="false">-P28</f>
        <v>307337.092439237</v>
      </c>
      <c r="Q31" s="73" t="n">
        <f aca="false">-Q28</f>
        <v>627969.739776473</v>
      </c>
      <c r="R31" s="73" t="n">
        <f aca="false">-R28</f>
        <v>423405.173509064</v>
      </c>
      <c r="S31" s="73" t="n">
        <f aca="false">-S28</f>
        <v>318904.47058364</v>
      </c>
      <c r="T31" s="73" t="n">
        <f aca="false">-T28</f>
        <v>598262.489639251</v>
      </c>
      <c r="U31" s="73" t="n">
        <f aca="false">-U28</f>
        <v>382929.600644943</v>
      </c>
      <c r="V31" s="73" t="n">
        <f aca="false">-V28</f>
        <v>314439.013872308</v>
      </c>
      <c r="W31" s="73" t="n">
        <f aca="false">-W28</f>
        <v>576639.56976765</v>
      </c>
      <c r="X31" s="73" t="n">
        <f aca="false">-X28</f>
        <v>478845.337258216</v>
      </c>
      <c r="Y31" s="73" t="n">
        <f aca="false">-Y28</f>
        <v>-781764.117408241</v>
      </c>
      <c r="Z31" s="73" t="n">
        <f aca="false">-Z28</f>
        <v>557622.343345176</v>
      </c>
      <c r="AA31" s="73" t="n">
        <f aca="false">-AA28</f>
        <v>411762.801053133</v>
      </c>
      <c r="AB31" s="73" t="n">
        <f aca="false">-AB28</f>
        <v>358240.744218787</v>
      </c>
    </row>
    <row r="32" customFormat="false" ht="15" hidden="false" customHeight="false" outlineLevel="0" collapsed="false">
      <c r="A32" s="22" t="s">
        <v>532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row>
    <row r="33" customFormat="false" ht="15" hidden="false" customHeight="false" outlineLevel="0" collapsed="false">
      <c r="A33" s="28" t="s">
        <v>533</v>
      </c>
      <c r="B33" s="62" t="s">
        <v>534</v>
      </c>
      <c r="C33" s="64" t="n">
        <f aca="false">SUM(E33:P33)</f>
        <v>3807721.3423483</v>
      </c>
      <c r="D33" s="64" t="n">
        <f aca="false">SUM(Q33:AB33)</f>
        <v>4813850.14559599</v>
      </c>
      <c r="E33" s="65" t="n">
        <f aca="false">Receivables!E11</f>
        <v>274905.14</v>
      </c>
      <c r="F33" s="65" t="n">
        <f aca="false">Receivables!F11</f>
        <v>291488.05</v>
      </c>
      <c r="G33" s="65" t="n">
        <f aca="false">Receivables!G11</f>
        <v>301509.25</v>
      </c>
      <c r="H33" s="65" t="n">
        <f aca="false">Receivables!H11</f>
        <v>296837.91</v>
      </c>
      <c r="I33" s="65" t="n">
        <f aca="false">Receivables!I11</f>
        <v>308538.08</v>
      </c>
      <c r="J33" s="65" t="n">
        <f aca="false">Receivables!J11</f>
        <v>316902.38</v>
      </c>
      <c r="K33" s="65" t="n">
        <f aca="false">Receivables!K11</f>
        <v>320768.48</v>
      </c>
      <c r="L33" s="65" t="n">
        <f aca="false">Receivables!L11</f>
        <v>314268.14</v>
      </c>
      <c r="M33" s="65" t="n">
        <f aca="false">Receivables!M11</f>
        <v>336126.206029411</v>
      </c>
      <c r="N33" s="65" t="n">
        <f aca="false">Receivables!N11</f>
        <v>345147.036956083</v>
      </c>
      <c r="O33" s="65" t="n">
        <f aca="false">Receivables!O11</f>
        <v>349921.723566645</v>
      </c>
      <c r="P33" s="65" t="n">
        <f aca="false">Receivables!P11</f>
        <v>351308.945796166</v>
      </c>
      <c r="Q33" s="65" t="n">
        <f aca="false">Receivables!Q11</f>
        <v>367631.129978929</v>
      </c>
      <c r="R33" s="65" t="n">
        <f aca="false">Receivables!R11</f>
        <v>372274.592488202</v>
      </c>
      <c r="S33" s="65" t="n">
        <f aca="false">Receivables!S11</f>
        <v>382081.852961852</v>
      </c>
      <c r="T33" s="65" t="n">
        <f aca="false">Receivables!T11</f>
        <v>384136.828318257</v>
      </c>
      <c r="U33" s="65" t="n">
        <f aca="false">Receivables!U11</f>
        <v>389803.385446259</v>
      </c>
      <c r="V33" s="65" t="n">
        <f aca="false">Receivables!V11</f>
        <v>398494.76993173</v>
      </c>
      <c r="W33" s="65" t="n">
        <f aca="false">Receivables!W11</f>
        <v>395737.412212508</v>
      </c>
      <c r="X33" s="65" t="n">
        <f aca="false">Receivables!X11</f>
        <v>386955.471907381</v>
      </c>
      <c r="Y33" s="65" t="n">
        <f aca="false">Receivables!Y11</f>
        <v>424257.213065725</v>
      </c>
      <c r="Z33" s="65" t="n">
        <f aca="false">Receivables!Z11</f>
        <v>434536.301881666</v>
      </c>
      <c r="AA33" s="65" t="n">
        <f aca="false">Receivables!AA11</f>
        <v>438983.573081471</v>
      </c>
      <c r="AB33" s="65" t="n">
        <f aca="false">Receivables!AB11</f>
        <v>438957.614322015</v>
      </c>
    </row>
    <row r="34" customFormat="false" ht="15" hidden="false" customHeight="false" outlineLevel="0" collapsed="false">
      <c r="A34" s="28" t="s">
        <v>535</v>
      </c>
      <c r="B34" s="62" t="s">
        <v>534</v>
      </c>
      <c r="C34" s="64" t="n">
        <f aca="false">SUM(E34:P34)</f>
        <v>1212449.845</v>
      </c>
      <c r="D34" s="64" t="n">
        <f aca="false">SUM(Q34:AB34)</f>
        <v>1739814.36667387</v>
      </c>
      <c r="E34" s="65" t="n">
        <f aca="false">Receivables!E20</f>
        <v>71000</v>
      </c>
      <c r="F34" s="65" t="n">
        <f aca="false">Receivables!F20</f>
        <v>94000</v>
      </c>
      <c r="G34" s="65" t="n">
        <f aca="false">Receivables!G20</f>
        <v>67000</v>
      </c>
      <c r="H34" s="65" t="n">
        <f aca="false">Receivables!H20</f>
        <v>73000</v>
      </c>
      <c r="I34" s="65" t="n">
        <f aca="false">Receivables!I20</f>
        <v>118000</v>
      </c>
      <c r="J34" s="65" t="n">
        <f aca="false">Receivables!J20</f>
        <v>115000</v>
      </c>
      <c r="K34" s="65" t="n">
        <f aca="false">Receivables!K20</f>
        <v>76000</v>
      </c>
      <c r="L34" s="65" t="n">
        <f aca="false">Receivables!L20</f>
        <v>126000</v>
      </c>
      <c r="M34" s="65" t="n">
        <f aca="false">Receivables!M20</f>
        <v>118999.998</v>
      </c>
      <c r="N34" s="65" t="n">
        <f aca="false">Receivables!N20</f>
        <v>88649.847</v>
      </c>
      <c r="O34" s="65" t="n">
        <f aca="false">Receivables!O20</f>
        <v>126000</v>
      </c>
      <c r="P34" s="65" t="n">
        <f aca="false">Receivables!P20</f>
        <v>138800</v>
      </c>
      <c r="Q34" s="65" t="n">
        <f aca="false">Receivables!Q20</f>
        <v>115600</v>
      </c>
      <c r="R34" s="65" t="n">
        <f aca="false">Receivables!R20</f>
        <v>126000</v>
      </c>
      <c r="S34" s="65" t="n">
        <f aca="false">Receivables!S20</f>
        <v>139120</v>
      </c>
      <c r="T34" s="65" t="n">
        <f aca="false">Receivables!T20</f>
        <v>134049.137744729</v>
      </c>
      <c r="U34" s="65" t="n">
        <f aca="false">Receivables!U20</f>
        <v>180698.670055843</v>
      </c>
      <c r="V34" s="65" t="n">
        <f aca="false">Receivables!V20</f>
        <v>196862.712379613</v>
      </c>
      <c r="W34" s="65" t="n">
        <f aca="false">Receivables!W20</f>
        <v>163403.846493689</v>
      </c>
      <c r="X34" s="65" t="n">
        <f aca="false">Receivables!X20</f>
        <v>141680</v>
      </c>
      <c r="Y34" s="65" t="n">
        <f aca="false">Receivables!Y20</f>
        <v>138480</v>
      </c>
      <c r="Z34" s="65" t="n">
        <f aca="false">Receivables!Z20</f>
        <v>124240</v>
      </c>
      <c r="AA34" s="65" t="n">
        <f aca="false">Receivables!AA20</f>
        <v>141680</v>
      </c>
      <c r="AB34" s="65" t="n">
        <f aca="false">Receivables!AB20</f>
        <v>138000</v>
      </c>
    </row>
    <row r="35" customFormat="false" ht="15" hidden="false" customHeight="false" outlineLevel="0" collapsed="false">
      <c r="A35" s="28" t="s">
        <v>536</v>
      </c>
      <c r="B35" s="62" t="s">
        <v>534</v>
      </c>
      <c r="C35" s="64" t="n">
        <f aca="false">SUM(E35:P35)</f>
        <v>1984324.72892136</v>
      </c>
      <c r="D35" s="64" t="n">
        <f aca="false">SUM(Q35:AB35)</f>
        <v>2677186.06012222</v>
      </c>
      <c r="E35" s="65" t="n">
        <f aca="false">Receivables!E26</f>
        <v>143333.34</v>
      </c>
      <c r="F35" s="65" t="n">
        <f aca="false">Receivables!F26</f>
        <v>150029.1</v>
      </c>
      <c r="G35" s="65" t="n">
        <f aca="false">Receivables!G26</f>
        <v>188630.35</v>
      </c>
      <c r="H35" s="65" t="n">
        <f aca="false">Receivables!H26</f>
        <v>138810.95</v>
      </c>
      <c r="I35" s="65" t="n">
        <f aca="false">Receivables!I26</f>
        <v>124166.67</v>
      </c>
      <c r="J35" s="65" t="n">
        <f aca="false">Receivables!J26</f>
        <v>187500</v>
      </c>
      <c r="K35" s="65" t="n">
        <f aca="false">Receivables!K26</f>
        <v>134166.67</v>
      </c>
      <c r="L35" s="65" t="n">
        <f aca="false">Receivables!L26</f>
        <v>150833.33</v>
      </c>
      <c r="M35" s="65" t="n">
        <f aca="false">Receivables!M26</f>
        <v>238333.323333333</v>
      </c>
      <c r="N35" s="65" t="n">
        <f aca="false">Receivables!N26</f>
        <v>135500</v>
      </c>
      <c r="O35" s="65" t="n">
        <f aca="false">Receivables!O26</f>
        <v>151327.759017227</v>
      </c>
      <c r="P35" s="65" t="n">
        <f aca="false">Receivables!P26</f>
        <v>241693.236570803</v>
      </c>
      <c r="Q35" s="65" t="n">
        <f aca="false">Receivables!Q26</f>
        <v>159868.426299686</v>
      </c>
      <c r="R35" s="65" t="n">
        <f aca="false">Receivables!R26</f>
        <v>210004.559736798</v>
      </c>
      <c r="S35" s="65" t="n">
        <f aca="false">Receivables!S26</f>
        <v>290841.878462224</v>
      </c>
      <c r="T35" s="65" t="n">
        <f aca="false">Receivables!T26</f>
        <v>203991.080056896</v>
      </c>
      <c r="U35" s="65" t="n">
        <f aca="false">Receivables!U26</f>
        <v>200935.577706951</v>
      </c>
      <c r="V35" s="65" t="n">
        <f aca="false">Receivables!V26</f>
        <v>273140.296649201</v>
      </c>
      <c r="W35" s="65" t="n">
        <f aca="false">Receivables!W26</f>
        <v>215058.135247179</v>
      </c>
      <c r="X35" s="65" t="n">
        <f aca="false">Receivables!X26</f>
        <v>184792.439408542</v>
      </c>
      <c r="Y35" s="65" t="n">
        <f aca="false">Receivables!Y26</f>
        <v>264834.878817084</v>
      </c>
      <c r="Z35" s="65" t="n">
        <f aca="false">Receivables!Z26</f>
        <v>204484.407246739</v>
      </c>
      <c r="AA35" s="65" t="n">
        <f aca="false">Receivables!AA26</f>
        <v>188089.696788665</v>
      </c>
      <c r="AB35" s="65" t="n">
        <f aca="false">Receivables!AB26</f>
        <v>281144.683702255</v>
      </c>
    </row>
    <row r="36" customFormat="false" ht="15" hidden="false" customHeight="false" outlineLevel="0" collapsed="false">
      <c r="A36" s="28" t="s">
        <v>537</v>
      </c>
      <c r="B36" s="62" t="s">
        <v>534</v>
      </c>
      <c r="C36" s="64" t="n">
        <f aca="false">SUM(E36:P36)</f>
        <v>935770</v>
      </c>
      <c r="D36" s="64" t="n">
        <f aca="false">SUM(Q36:AB36)</f>
        <v>1137599.27210099</v>
      </c>
      <c r="E36" s="65" t="n">
        <f aca="false">Research_Credit!E12</f>
        <v>0</v>
      </c>
      <c r="F36" s="65" t="n">
        <f aca="false">Research_Credit!F12</f>
        <v>0</v>
      </c>
      <c r="G36" s="65" t="n">
        <f aca="false">Research_Credit!G12</f>
        <v>0</v>
      </c>
      <c r="H36" s="65" t="n">
        <f aca="false">Research_Credit!H12</f>
        <v>0</v>
      </c>
      <c r="I36" s="65" t="n">
        <f aca="false">Research_Credit!I12</f>
        <v>0</v>
      </c>
      <c r="J36" s="65" t="n">
        <f aca="false">Research_Credit!J12</f>
        <v>0</v>
      </c>
      <c r="K36" s="65" t="n">
        <f aca="false">Research_Credit!K12</f>
        <v>935770</v>
      </c>
      <c r="L36" s="65" t="n">
        <f aca="false">Research_Credit!L12</f>
        <v>0</v>
      </c>
      <c r="M36" s="65" t="n">
        <f aca="false">Research_Credit!M12</f>
        <v>0</v>
      </c>
      <c r="N36" s="65" t="n">
        <f aca="false">Research_Credit!N12</f>
        <v>0</v>
      </c>
      <c r="O36" s="65" t="n">
        <f aca="false">Research_Credit!O12</f>
        <v>0</v>
      </c>
      <c r="P36" s="65" t="n">
        <f aca="false">Research_Credit!P12</f>
        <v>0</v>
      </c>
      <c r="Q36" s="65" t="n">
        <f aca="false">Research_Credit!Q12</f>
        <v>0</v>
      </c>
      <c r="R36" s="65" t="n">
        <f aca="false">Research_Credit!R12</f>
        <v>0</v>
      </c>
      <c r="S36" s="65" t="n">
        <f aca="false">Research_Credit!S12</f>
        <v>0</v>
      </c>
      <c r="T36" s="65" t="n">
        <f aca="false">Research_Credit!T12</f>
        <v>0</v>
      </c>
      <c r="U36" s="65" t="n">
        <f aca="false">Research_Credit!U12</f>
        <v>0</v>
      </c>
      <c r="V36" s="65" t="n">
        <f aca="false">Research_Credit!V12</f>
        <v>0</v>
      </c>
      <c r="W36" s="65" t="n">
        <f aca="false">Research_Credit!W12</f>
        <v>0</v>
      </c>
      <c r="X36" s="65" t="n">
        <f aca="false">Research_Credit!X12</f>
        <v>0</v>
      </c>
      <c r="Y36" s="65" t="n">
        <f aca="false">Research_Credit!Y12</f>
        <v>1137599.27210099</v>
      </c>
      <c r="Z36" s="65" t="n">
        <f aca="false">Research_Credit!Z12</f>
        <v>0</v>
      </c>
      <c r="AA36" s="65" t="n">
        <f aca="false">Research_Credit!AA12</f>
        <v>0</v>
      </c>
      <c r="AB36" s="65" t="n">
        <f aca="false">Research_Credit!AB12</f>
        <v>0</v>
      </c>
    </row>
    <row r="37" customFormat="false" ht="15" hidden="false" customHeight="false" outlineLevel="0" collapsed="false">
      <c r="A37" s="28" t="s">
        <v>538</v>
      </c>
      <c r="B37" s="62" t="s">
        <v>534</v>
      </c>
      <c r="C37" s="64" t="n">
        <f aca="false">SUM(E37:P37)</f>
        <v>180593.562540258</v>
      </c>
      <c r="D37" s="64" t="n">
        <f aca="false">SUM(Q37:AB37)</f>
        <v>99259.2688773817</v>
      </c>
      <c r="E37" s="65" t="n">
        <f aca="false">Treasury!E8</f>
        <v>18300</v>
      </c>
      <c r="F37" s="65" t="n">
        <f aca="false">Treasury!F8</f>
        <v>17540.71</v>
      </c>
      <c r="G37" s="65" t="n">
        <f aca="false">Treasury!G8</f>
        <v>17000.73</v>
      </c>
      <c r="H37" s="65" t="n">
        <f aca="false">Treasury!H8</f>
        <v>16375.49</v>
      </c>
      <c r="I37" s="65" t="n">
        <f aca="false">Treasury!I8</f>
        <v>15411.49</v>
      </c>
      <c r="J37" s="65" t="n">
        <f aca="false">Treasury!J8</f>
        <v>14769.42</v>
      </c>
      <c r="K37" s="65" t="n">
        <f aca="false">Treasury!K8</f>
        <v>14166.97</v>
      </c>
      <c r="L37" s="65" t="n">
        <f aca="false">Treasury!L8</f>
        <v>14620.69</v>
      </c>
      <c r="M37" s="65" t="n">
        <f aca="false">Treasury!M8</f>
        <v>14005.8733835</v>
      </c>
      <c r="N37" s="65" t="n">
        <f aca="false">Treasury!N8</f>
        <v>13538.5452401385</v>
      </c>
      <c r="O37" s="65" t="n">
        <f aca="false">Treasury!O8</f>
        <v>12712.8582074112</v>
      </c>
      <c r="P37" s="65" t="n">
        <f aca="false">Treasury!P8</f>
        <v>12150.7857092078</v>
      </c>
      <c r="Q37" s="65" t="n">
        <f aca="false">Treasury!Q8</f>
        <v>11689.7800705489</v>
      </c>
      <c r="R37" s="65" t="n">
        <f aca="false">Treasury!R8</f>
        <v>10747.8254608842</v>
      </c>
      <c r="S37" s="65" t="n">
        <f aca="false">Treasury!S8</f>
        <v>10112.7177006206</v>
      </c>
      <c r="T37" s="65" t="n">
        <f aca="false">Treasury!T8</f>
        <v>9634.36099474516</v>
      </c>
      <c r="U37" s="65" t="n">
        <f aca="false">Treasury!U8</f>
        <v>8736.96726028628</v>
      </c>
      <c r="V37" s="65" t="n">
        <f aca="false">Treasury!V8</f>
        <v>8162.57285931887</v>
      </c>
      <c r="W37" s="65" t="n">
        <f aca="false">Treasury!W8</f>
        <v>7690.9143385104</v>
      </c>
      <c r="X37" s="65" t="n">
        <f aca="false">Treasury!X8</f>
        <v>6825.95498385893</v>
      </c>
      <c r="Y37" s="65" t="n">
        <f aca="false">Treasury!Y8</f>
        <v>6107.68697797161</v>
      </c>
      <c r="Z37" s="65" t="n">
        <f aca="false">Treasury!Z8</f>
        <v>7280.33315408397</v>
      </c>
      <c r="AA37" s="65" t="n">
        <f aca="false">Treasury!AA8</f>
        <v>6443.89963906621</v>
      </c>
      <c r="AB37" s="65" t="n">
        <f aca="false">Treasury!AB8</f>
        <v>5826.25543748651</v>
      </c>
    </row>
    <row r="38" customFormat="false" ht="15" hidden="false" customHeight="false" outlineLevel="0" collapsed="false">
      <c r="A38" s="28" t="s">
        <v>539</v>
      </c>
      <c r="B38" s="62" t="s">
        <v>534</v>
      </c>
      <c r="C38" s="64" t="n">
        <f aca="false">SUM(E38:P38)</f>
        <v>-4049763.1787786</v>
      </c>
      <c r="D38" s="64" t="n">
        <f aca="false">SUM(Q38:AB38)</f>
        <v>-4736053.7705216</v>
      </c>
      <c r="E38" s="65" t="n">
        <f aca="false">-People!E249</f>
        <v>-302359.56</v>
      </c>
      <c r="F38" s="65" t="n">
        <f aca="false">-People!F249</f>
        <v>-312200.5</v>
      </c>
      <c r="G38" s="65" t="n">
        <f aca="false">-People!G249</f>
        <v>-343472.8843</v>
      </c>
      <c r="H38" s="65" t="n">
        <f aca="false">-People!H249</f>
        <v>-331656.04</v>
      </c>
      <c r="I38" s="65" t="n">
        <f aca="false">-People!I249</f>
        <v>-356044.8666</v>
      </c>
      <c r="J38" s="65" t="n">
        <f aca="false">-People!J249</f>
        <v>-334078.46</v>
      </c>
      <c r="K38" s="65" t="n">
        <f aca="false">-People!K249</f>
        <v>-353129.1243</v>
      </c>
      <c r="L38" s="65" t="n">
        <f aca="false">-People!L249</f>
        <v>-351637.3708</v>
      </c>
      <c r="M38" s="65" t="n">
        <f aca="false">-People!M249</f>
        <v>-330112.749157093</v>
      </c>
      <c r="N38" s="65" t="n">
        <f aca="false">-People!N249</f>
        <v>-337278.471383827</v>
      </c>
      <c r="O38" s="65" t="n">
        <f aca="false">-People!O249</f>
        <v>-350158.379631058</v>
      </c>
      <c r="P38" s="65" t="n">
        <f aca="false">-People!P249</f>
        <v>-347634.772606626</v>
      </c>
      <c r="Q38" s="65" t="n">
        <f aca="false">-People!Q249</f>
        <v>-369620.363162569</v>
      </c>
      <c r="R38" s="65" t="n">
        <f aca="false">-People!R249</f>
        <v>-367906.000308985</v>
      </c>
      <c r="S38" s="65" t="n">
        <f aca="false">-People!S249</f>
        <v>-401899.909418986</v>
      </c>
      <c r="T38" s="65" t="n">
        <f aca="false">-People!T249</f>
        <v>-381758.666858827</v>
      </c>
      <c r="U38" s="65" t="n">
        <f aca="false">-People!U249</f>
        <v>-404128.188493522</v>
      </c>
      <c r="V38" s="65" t="n">
        <f aca="false">-People!V249</f>
        <v>-387683.340820967</v>
      </c>
      <c r="W38" s="65" t="n">
        <f aca="false">-People!W249</f>
        <v>-409764.217105476</v>
      </c>
      <c r="X38" s="65" t="n">
        <f aca="false">-People!X249</f>
        <v>-408277.171694462</v>
      </c>
      <c r="Y38" s="65" t="n">
        <f aca="false">-People!Y249</f>
        <v>-395725.416005941</v>
      </c>
      <c r="Z38" s="65" t="n">
        <f aca="false">-People!Z249</f>
        <v>-398341.514896433</v>
      </c>
      <c r="AA38" s="65" t="n">
        <f aca="false">-People!AA249</f>
        <v>-406780.291962433</v>
      </c>
      <c r="AB38" s="65" t="n">
        <f aca="false">-People!AB249</f>
        <v>-404168.689792994</v>
      </c>
    </row>
    <row r="39" customFormat="false" ht="15" hidden="false" customHeight="false" outlineLevel="0" collapsed="false">
      <c r="A39" s="28" t="s">
        <v>540</v>
      </c>
      <c r="B39" s="62" t="s">
        <v>534</v>
      </c>
      <c r="C39" s="64" t="n">
        <f aca="false">SUM(E39:P39)</f>
        <v>-2874125.32266394</v>
      </c>
      <c r="D39" s="64" t="n">
        <f aca="false">SUM(Q39:AB39)</f>
        <v>-3356743.30975929</v>
      </c>
      <c r="E39" s="65" t="n">
        <f aca="false">-People!E241</f>
        <v>-213682.42</v>
      </c>
      <c r="F39" s="65" t="n">
        <f aca="false">-People!F241</f>
        <v>-219057.13</v>
      </c>
      <c r="G39" s="65" t="n">
        <f aca="false">-People!G241</f>
        <v>-226130.17</v>
      </c>
      <c r="H39" s="65" t="n">
        <f aca="false">-People!H241</f>
        <v>-245947.1</v>
      </c>
      <c r="I39" s="65" t="n">
        <f aca="false">-People!I241</f>
        <v>-239469.37</v>
      </c>
      <c r="J39" s="65" t="n">
        <f aca="false">-People!J241</f>
        <v>-254250.73</v>
      </c>
      <c r="K39" s="65" t="n">
        <f aca="false">-People!K241</f>
        <v>-241473.55</v>
      </c>
      <c r="L39" s="65" t="n">
        <f aca="false">-People!L241</f>
        <v>-252464.91</v>
      </c>
      <c r="M39" s="65" t="n">
        <f aca="false">-People!M241</f>
        <v>-250288.55</v>
      </c>
      <c r="N39" s="65" t="n">
        <f aca="false">-People!N241</f>
        <v>-237866.303901732</v>
      </c>
      <c r="O39" s="65" t="n">
        <f aca="false">-People!O241</f>
        <v>-242662.745709719</v>
      </c>
      <c r="P39" s="65" t="n">
        <f aca="false">-People!P241</f>
        <v>-250832.343052491</v>
      </c>
      <c r="Q39" s="65" t="n">
        <f aca="false">-People!Q241</f>
        <v>-249341.301341701</v>
      </c>
      <c r="R39" s="65" t="n">
        <f aca="false">-People!R241</f>
        <v>-266326.426397036</v>
      </c>
      <c r="S39" s="65" t="n">
        <f aca="false">-People!S241</f>
        <v>-265757.282651084</v>
      </c>
      <c r="T39" s="65" t="n">
        <f aca="false">-People!T241</f>
        <v>-286238.359028073</v>
      </c>
      <c r="U39" s="65" t="n">
        <f aca="false">-People!U241</f>
        <v>-275075.725519861</v>
      </c>
      <c r="V39" s="65" t="n">
        <f aca="false">-People!V241</f>
        <v>-288134.743385046</v>
      </c>
      <c r="W39" s="65" t="n">
        <f aca="false">-People!W241</f>
        <v>-279143.69064124</v>
      </c>
      <c r="X39" s="65" t="n">
        <f aca="false">-People!X241</f>
        <v>-292461.02146857</v>
      </c>
      <c r="Y39" s="65" t="n">
        <f aca="false">-People!Y241</f>
        <v>-291584.156005281</v>
      </c>
      <c r="Z39" s="65" t="n">
        <f aca="false">-People!Z241</f>
        <v>-284902.569433469</v>
      </c>
      <c r="AA39" s="65" t="n">
        <f aca="false">-People!AA241</f>
        <v>-286425.98229214</v>
      </c>
      <c r="AB39" s="65" t="n">
        <f aca="false">-People!AB241</f>
        <v>-291352.051595788</v>
      </c>
    </row>
    <row r="40" customFormat="false" ht="15" hidden="false" customHeight="false" outlineLevel="0" collapsed="false">
      <c r="A40" s="28" t="s">
        <v>541</v>
      </c>
      <c r="B40" s="62" t="s">
        <v>534</v>
      </c>
      <c r="C40" s="64" t="n">
        <f aca="false">SUM(E40:P40)</f>
        <v>-571397.950410839</v>
      </c>
      <c r="D40" s="64" t="n">
        <f aca="false">SUM(Q40:AB40)</f>
        <v>-660014.415347731</v>
      </c>
      <c r="E40" s="65" t="n">
        <f aca="false">-People!E244</f>
        <v>-42455.68</v>
      </c>
      <c r="F40" s="65" t="n">
        <f aca="false">-People!F244</f>
        <v>-43544.32</v>
      </c>
      <c r="G40" s="65" t="n">
        <f aca="false">-People!G244</f>
        <v>-45112.36</v>
      </c>
      <c r="H40" s="65" t="n">
        <f aca="false">-People!H244</f>
        <v>-49245.99</v>
      </c>
      <c r="I40" s="65" t="n">
        <f aca="false">-People!I244</f>
        <v>-47195.8</v>
      </c>
      <c r="J40" s="65" t="n">
        <f aca="false">-People!J244</f>
        <v>-50719.38</v>
      </c>
      <c r="K40" s="65" t="n">
        <f aca="false">-People!K244</f>
        <v>-47540.26</v>
      </c>
      <c r="L40" s="65" t="n">
        <f aca="false">-People!L244</f>
        <v>-50425.29</v>
      </c>
      <c r="M40" s="65" t="n">
        <f aca="false">-People!M244</f>
        <v>-50082.254</v>
      </c>
      <c r="N40" s="65" t="n">
        <f aca="false">-People!N244</f>
        <v>-47171.6485325597</v>
      </c>
      <c r="O40" s="65" t="n">
        <f aca="false">-People!O244</f>
        <v>-48037.8305226273</v>
      </c>
      <c r="P40" s="65" t="n">
        <f aca="false">-People!P244</f>
        <v>-49867.1373556515</v>
      </c>
      <c r="Q40" s="65" t="n">
        <f aca="false">-People!Q244</f>
        <v>-49510.7703155722</v>
      </c>
      <c r="R40" s="65" t="n">
        <f aca="false">-People!R244</f>
        <v>-52547.1443520976</v>
      </c>
      <c r="S40" s="65" t="n">
        <f aca="false">-People!S244</f>
        <v>-52165.4496766882</v>
      </c>
      <c r="T40" s="65" t="n">
        <f aca="false">-People!T244</f>
        <v>-56992.9139111526</v>
      </c>
      <c r="U40" s="65" t="n">
        <f aca="false">-People!U244</f>
        <v>-53777.6300076107</v>
      </c>
      <c r="V40" s="65" t="n">
        <f aca="false">-People!V244</f>
        <v>-56956.9909188829</v>
      </c>
      <c r="W40" s="65" t="n">
        <f aca="false">-People!W244</f>
        <v>-54572.5269452202</v>
      </c>
      <c r="X40" s="65" t="n">
        <f aca="false">-People!X244</f>
        <v>-57545.7279740335</v>
      </c>
      <c r="Y40" s="65" t="n">
        <f aca="false">-People!Y244</f>
        <v>-57336.178868422</v>
      </c>
      <c r="Z40" s="65" t="n">
        <f aca="false">-People!Z244</f>
        <v>-55556.4213497044</v>
      </c>
      <c r="AA40" s="65" t="n">
        <f aca="false">-People!AA244</f>
        <v>-55927.6180358496</v>
      </c>
      <c r="AB40" s="65" t="n">
        <f aca="false">-People!AB244</f>
        <v>-57125.0429924967</v>
      </c>
    </row>
    <row r="41" customFormat="false" ht="15" hidden="false" customHeight="false" outlineLevel="0" collapsed="false">
      <c r="A41" s="28" t="s">
        <v>542</v>
      </c>
      <c r="B41" s="62" t="s">
        <v>534</v>
      </c>
      <c r="C41" s="64" t="n">
        <f aca="false">SUM(E41:P41)</f>
        <v>-1002857.74337328</v>
      </c>
      <c r="D41" s="64" t="n">
        <f aca="false">SUM(Q41:AB41)</f>
        <v>-1174123.84714388</v>
      </c>
      <c r="E41" s="65" t="n">
        <f aca="false">-People!E247</f>
        <v>-73047.74</v>
      </c>
      <c r="F41" s="65" t="n">
        <f aca="false">-People!F247</f>
        <v>-75173.11</v>
      </c>
      <c r="G41" s="65" t="n">
        <f aca="false">-People!G247</f>
        <v>-77939.69</v>
      </c>
      <c r="H41" s="65" t="n">
        <f aca="false">-People!H247</f>
        <v>-87441.15</v>
      </c>
      <c r="I41" s="65" t="n">
        <f aca="false">-People!I247</f>
        <v>-81918.61</v>
      </c>
      <c r="J41" s="65" t="n">
        <f aca="false">-People!J247</f>
        <v>-90697.69</v>
      </c>
      <c r="K41" s="65" t="n">
        <f aca="false">-People!K247</f>
        <v>-82524.46</v>
      </c>
      <c r="L41" s="65" t="n">
        <f aca="false">-People!L247</f>
        <v>-89698.04</v>
      </c>
      <c r="M41" s="65" t="n">
        <f aca="false">-People!M247</f>
        <v>-89269.9099999999</v>
      </c>
      <c r="N41" s="65" t="n">
        <f aca="false">-People!N247</f>
        <v>-82399.7543644444</v>
      </c>
      <c r="O41" s="65" t="n">
        <f aca="false">-People!O247</f>
        <v>-84331.1519792162</v>
      </c>
      <c r="P41" s="65" t="n">
        <f aca="false">-People!P247</f>
        <v>-88416.4370296205</v>
      </c>
      <c r="Q41" s="65" t="n">
        <f aca="false">-People!Q247</f>
        <v>-87542.0197927471</v>
      </c>
      <c r="R41" s="65" t="n">
        <f aca="false">-People!R247</f>
        <v>-92315.4416516548</v>
      </c>
      <c r="S41" s="65" t="n">
        <f aca="false">-People!S247</f>
        <v>-91238.9334316711</v>
      </c>
      <c r="T41" s="65" t="n">
        <f aca="false">-People!T247</f>
        <v>-102773.89292901</v>
      </c>
      <c r="U41" s="65" t="n">
        <f aca="false">-People!U247</f>
        <v>-94754.3317159061</v>
      </c>
      <c r="V41" s="65" t="n">
        <f aca="false">-People!V247</f>
        <v>-102639.53823502</v>
      </c>
      <c r="W41" s="65" t="n">
        <f aca="false">-People!W247</f>
        <v>-96395.9312388083</v>
      </c>
      <c r="X41" s="65" t="n">
        <f aca="false">-People!X247</f>
        <v>-103661.674248824</v>
      </c>
      <c r="Y41" s="65" t="n">
        <f aca="false">-People!Y247</f>
        <v>-103145.694192285</v>
      </c>
      <c r="Z41" s="65" t="n">
        <f aca="false">-People!Z247</f>
        <v>-98278.8435548538</v>
      </c>
      <c r="AA41" s="65" t="n">
        <f aca="false">-People!AA247</f>
        <v>-99202.7590996312</v>
      </c>
      <c r="AB41" s="65" t="n">
        <f aca="false">-People!AB247</f>
        <v>-102174.787053469</v>
      </c>
    </row>
    <row r="42" customFormat="false" ht="15" hidden="false" customHeight="false" outlineLevel="0" collapsed="false">
      <c r="A42" s="28" t="s">
        <v>543</v>
      </c>
      <c r="B42" s="62" t="s">
        <v>534</v>
      </c>
      <c r="C42" s="64" t="n">
        <f aca="false">SUM(E42:P42)</f>
        <v>-1552908.20290918</v>
      </c>
      <c r="D42" s="64" t="n">
        <f aca="false">SUM(Q42:AB42)</f>
        <v>-1960134.21637355</v>
      </c>
      <c r="E42" s="65" t="n">
        <f aca="false">-Payables!E11</f>
        <v>-107546.17</v>
      </c>
      <c r="F42" s="65" t="n">
        <f aca="false">-Payables!F11</f>
        <v>-123320.74</v>
      </c>
      <c r="G42" s="65" t="n">
        <f aca="false">-Payables!G11</f>
        <v>-125872.77</v>
      </c>
      <c r="H42" s="65" t="n">
        <f aca="false">-Payables!H11</f>
        <v>-124046.4</v>
      </c>
      <c r="I42" s="65" t="n">
        <f aca="false">-Payables!I11</f>
        <v>-123735.7</v>
      </c>
      <c r="J42" s="65" t="n">
        <f aca="false">-Payables!J11</f>
        <v>-133093.42</v>
      </c>
      <c r="K42" s="65" t="n">
        <f aca="false">-Payables!K11</f>
        <v>-134594.58</v>
      </c>
      <c r="L42" s="65" t="n">
        <f aca="false">-Payables!L11</f>
        <v>-142250.18</v>
      </c>
      <c r="M42" s="65" t="n">
        <f aca="false">-Payables!M11</f>
        <v>-145536.42153014</v>
      </c>
      <c r="N42" s="65" t="n">
        <f aca="false">-Payables!N11</f>
        <v>-144467.377437502</v>
      </c>
      <c r="O42" s="65" t="n">
        <f aca="false">-Payables!O11</f>
        <v>-122894.58992961</v>
      </c>
      <c r="P42" s="65" t="n">
        <f aca="false">-Payables!P11</f>
        <v>-125549.854011923</v>
      </c>
      <c r="Q42" s="65" t="n">
        <f aca="false">-Payables!Q11</f>
        <v>-227828.091947761</v>
      </c>
      <c r="R42" s="65" t="n">
        <f aca="false">-Payables!R11</f>
        <v>-146611.318113077</v>
      </c>
      <c r="S42" s="65" t="n">
        <f aca="false">-Payables!S11</f>
        <v>-147067.569614253</v>
      </c>
      <c r="T42" s="65" t="n">
        <f aca="false">-Payables!T11</f>
        <v>-153090.446427517</v>
      </c>
      <c r="U42" s="65" t="n">
        <f aca="false">-Payables!U11</f>
        <v>-153214.664256939</v>
      </c>
      <c r="V42" s="65" t="n">
        <f aca="false">-Payables!V11</f>
        <v>-157518.043688229</v>
      </c>
      <c r="W42" s="65" t="n">
        <f aca="false">-Payables!W11</f>
        <v>-158009.260003152</v>
      </c>
      <c r="X42" s="65" t="n">
        <f aca="false">-Payables!X11</f>
        <v>-159968.899340933</v>
      </c>
      <c r="Y42" s="65" t="n">
        <f aca="false">-Payables!Y11</f>
        <v>-161145.048010578</v>
      </c>
      <c r="Z42" s="65" t="n">
        <f aca="false">-Payables!Z11</f>
        <v>-162638.40962113</v>
      </c>
      <c r="AA42" s="65" t="n">
        <f aca="false">-Payables!AA11</f>
        <v>-165860.740034221</v>
      </c>
      <c r="AB42" s="65" t="n">
        <f aca="false">-Payables!AB11</f>
        <v>-167181.725315759</v>
      </c>
    </row>
    <row r="43" customFormat="false" ht="15" hidden="false" customHeight="false" outlineLevel="0" collapsed="false">
      <c r="A43" s="28" t="s">
        <v>544</v>
      </c>
      <c r="B43" s="62" t="s">
        <v>534</v>
      </c>
      <c r="C43" s="64" t="n">
        <f aca="false">SUM(E43:P43)</f>
        <v>-109316.694039566</v>
      </c>
      <c r="D43" s="64" t="n">
        <f aca="false">SUM(Q43:AB43)</f>
        <v>-163456.264732639</v>
      </c>
      <c r="E43" s="65" t="n">
        <f aca="false">-Payables!E17</f>
        <v>-7104.97</v>
      </c>
      <c r="F43" s="65" t="n">
        <f aca="false">-Payables!F17</f>
        <v>-8172.87</v>
      </c>
      <c r="G43" s="65" t="n">
        <f aca="false">-Payables!G17</f>
        <v>-8429.57</v>
      </c>
      <c r="H43" s="65" t="n">
        <f aca="false">-Payables!H17</f>
        <v>-8033.9</v>
      </c>
      <c r="I43" s="65" t="n">
        <f aca="false">-Payables!I17</f>
        <v>-8834.88</v>
      </c>
      <c r="J43" s="65" t="n">
        <f aca="false">-Payables!J17</f>
        <v>-9004.17</v>
      </c>
      <c r="K43" s="65" t="n">
        <f aca="false">-Payables!K17</f>
        <v>-9240.64</v>
      </c>
      <c r="L43" s="65" t="n">
        <f aca="false">-Payables!L17</f>
        <v>-9844.35</v>
      </c>
      <c r="M43" s="65" t="n">
        <f aca="false">-Payables!M17</f>
        <v>-9871.04</v>
      </c>
      <c r="N43" s="65" t="n">
        <f aca="false">-Payables!N17</f>
        <v>-9998.79700586248</v>
      </c>
      <c r="O43" s="65" t="n">
        <f aca="false">-Payables!O17</f>
        <v>-10170.8811115552</v>
      </c>
      <c r="P43" s="65" t="n">
        <f aca="false">-Payables!P17</f>
        <v>-10610.625922148</v>
      </c>
      <c r="Q43" s="65" t="n">
        <f aca="false">-Payables!Q17</f>
        <v>-10991.7996637373</v>
      </c>
      <c r="R43" s="65" t="n">
        <f aca="false">-Payables!R17</f>
        <v>-12514.0722463055</v>
      </c>
      <c r="S43" s="65" t="n">
        <f aca="false">-Payables!S17</f>
        <v>-12861.9534597654</v>
      </c>
      <c r="T43" s="65" t="n">
        <f aca="false">-Payables!T17</f>
        <v>-13208.3483632183</v>
      </c>
      <c r="U43" s="65" t="n">
        <f aca="false">-Payables!U17</f>
        <v>-13350.8225394132</v>
      </c>
      <c r="V43" s="65" t="n">
        <f aca="false">-Payables!V17</f>
        <v>-13776.8785607132</v>
      </c>
      <c r="W43" s="65" t="n">
        <f aca="false">-Payables!W17</f>
        <v>-13899.4931066002</v>
      </c>
      <c r="X43" s="65" t="n">
        <f aca="false">-Payables!X17</f>
        <v>-14077.7959226185</v>
      </c>
      <c r="Y43" s="65" t="n">
        <f aca="false">-Payables!Y17</f>
        <v>-14239.4198105958</v>
      </c>
      <c r="Z43" s="65" t="n">
        <f aca="false">-Payables!Z17</f>
        <v>-14583.2671517294</v>
      </c>
      <c r="AA43" s="65" t="n">
        <f aca="false">-Payables!AA17</f>
        <v>-14845.8698719592</v>
      </c>
      <c r="AB43" s="65" t="n">
        <f aca="false">-Payables!AB17</f>
        <v>-15106.5440359835</v>
      </c>
    </row>
    <row r="44" customFormat="false" ht="15" hidden="false" customHeight="false" outlineLevel="0" collapsed="false">
      <c r="A44" s="28" t="s">
        <v>545</v>
      </c>
      <c r="B44" s="62" t="s">
        <v>534</v>
      </c>
      <c r="C44" s="64" t="n">
        <f aca="false">SUM(E44:P44)</f>
        <v>-819169.212639445</v>
      </c>
      <c r="D44" s="64" t="n">
        <f aca="false">SUM(Q44:AB44)</f>
        <v>-861322.648643806</v>
      </c>
      <c r="E44" s="65" t="n">
        <f aca="false">-Payables!E21</f>
        <v>-67925.28</v>
      </c>
      <c r="F44" s="65" t="n">
        <f aca="false">-Payables!F21</f>
        <v>-70026.06</v>
      </c>
      <c r="G44" s="65" t="n">
        <f aca="false">-Payables!G21</f>
        <v>-67643.71</v>
      </c>
      <c r="H44" s="65" t="n">
        <f aca="false">-Payables!H21</f>
        <v>-74176.79</v>
      </c>
      <c r="I44" s="65" t="n">
        <f aca="false">-Payables!I21</f>
        <v>-69366.35</v>
      </c>
      <c r="J44" s="65" t="n">
        <f aca="false">-Payables!J21</f>
        <v>-65767.27</v>
      </c>
      <c r="K44" s="65" t="n">
        <f aca="false">-Payables!K21</f>
        <v>-67888.45</v>
      </c>
      <c r="L44" s="65" t="n">
        <f aca="false">-Payables!L21</f>
        <v>-67886.13</v>
      </c>
      <c r="M44" s="65" t="n">
        <f aca="false">-Payables!M21</f>
        <v>-60109.26</v>
      </c>
      <c r="N44" s="65" t="n">
        <f aca="false">-Payables!N21</f>
        <v>-67287.2</v>
      </c>
      <c r="O44" s="65" t="n">
        <f aca="false">-Payables!O21</f>
        <v>-73276.6353333334</v>
      </c>
      <c r="P44" s="65" t="n">
        <f aca="false">-Payables!P21</f>
        <v>-67816.0773061111</v>
      </c>
      <c r="Q44" s="65" t="n">
        <f aca="false">-Payables!Q21</f>
        <v>-67809.2811249384</v>
      </c>
      <c r="R44" s="65" t="n">
        <f aca="false">-Payables!R21</f>
        <v>-70730.5053074616</v>
      </c>
      <c r="S44" s="65" t="n">
        <f aca="false">-Payables!S21</f>
        <v>-70963.3425162343</v>
      </c>
      <c r="T44" s="65" t="n">
        <f aca="false">-Payables!T21</f>
        <v>-77034.6402146239</v>
      </c>
      <c r="U44" s="65" t="n">
        <f aca="false">-Payables!U21</f>
        <v>-71678.3689730573</v>
      </c>
      <c r="V44" s="65" t="n">
        <f aca="false">-Payables!V21</f>
        <v>-71669.4474669856</v>
      </c>
      <c r="W44" s="65" t="n">
        <f aca="false">-Payables!W21</f>
        <v>-71908.4722466368</v>
      </c>
      <c r="X44" s="65" t="n">
        <f aca="false">-Payables!X21</f>
        <v>-72152.6456240682</v>
      </c>
      <c r="Y44" s="65" t="n">
        <f aca="false">-Payables!Y21</f>
        <v>-64359.0733047542</v>
      </c>
      <c r="Z44" s="65" t="n">
        <f aca="false">-Payables!Z21</f>
        <v>-72393.4734655675</v>
      </c>
      <c r="AA44" s="65" t="n">
        <f aca="false">-Payables!AA21</f>
        <v>-78233.9604639906</v>
      </c>
      <c r="AB44" s="65" t="n">
        <f aca="false">-Payables!AB21</f>
        <v>-72389.4379354873</v>
      </c>
    </row>
    <row r="45" customFormat="false" ht="15" hidden="false" customHeight="false" outlineLevel="0" collapsed="false">
      <c r="A45" s="28" t="s">
        <v>546</v>
      </c>
      <c r="B45" s="62" t="s">
        <v>534</v>
      </c>
      <c r="C45" s="64" t="n">
        <f aca="false">SUM(E45:P45)</f>
        <v>-700726.006</v>
      </c>
      <c r="D45" s="64" t="n">
        <f aca="false">SUM(Q45:AB45)</f>
        <v>-810075.053448974</v>
      </c>
      <c r="E45" s="65" t="n">
        <f aca="false">-Payables!E25</f>
        <v>-48894.67</v>
      </c>
      <c r="F45" s="65" t="n">
        <f aca="false">-Payables!F25</f>
        <v>-52015.61</v>
      </c>
      <c r="G45" s="65" t="n">
        <f aca="false">-Payables!G25</f>
        <v>-61986</v>
      </c>
      <c r="H45" s="65" t="n">
        <f aca="false">-Payables!H25</f>
        <v>-95719.9</v>
      </c>
      <c r="I45" s="65" t="n">
        <f aca="false">-Payables!I25</f>
        <v>-62591.64</v>
      </c>
      <c r="J45" s="65" t="n">
        <f aca="false">-Payables!J25</f>
        <v>-52805.77</v>
      </c>
      <c r="K45" s="65" t="n">
        <f aca="false">-Payables!K25</f>
        <v>-79688.21</v>
      </c>
      <c r="L45" s="65" t="n">
        <f aca="false">-Payables!L25</f>
        <v>-42612.62</v>
      </c>
      <c r="M45" s="65" t="n">
        <f aca="false">-Payables!M25</f>
        <v>-38627.986</v>
      </c>
      <c r="N45" s="65" t="n">
        <f aca="false">-Payables!N25</f>
        <v>-40200</v>
      </c>
      <c r="O45" s="65" t="n">
        <f aca="false">-Payables!O25</f>
        <v>-63960</v>
      </c>
      <c r="P45" s="65" t="n">
        <f aca="false">-Payables!P25</f>
        <v>-61623.6</v>
      </c>
      <c r="Q45" s="65" t="n">
        <f aca="false">-Payables!Q25</f>
        <v>-49632.951</v>
      </c>
      <c r="R45" s="65" t="n">
        <f aca="false">-Payables!R25</f>
        <v>-110071.2223475</v>
      </c>
      <c r="S45" s="65" t="n">
        <f aca="false">-Payables!S25</f>
        <v>-62749.3619680479</v>
      </c>
      <c r="T45" s="65" t="n">
        <f aca="false">-Payables!T25</f>
        <v>-86360.7719642928</v>
      </c>
      <c r="U45" s="65" t="n">
        <f aca="false">-Payables!U25</f>
        <v>-75265.0284712218</v>
      </c>
      <c r="V45" s="65" t="n">
        <f aca="false">-Payables!V25</f>
        <v>-51695.5172615741</v>
      </c>
      <c r="W45" s="65" t="n">
        <f aca="false">-Payables!W25</f>
        <v>-89493.7372102949</v>
      </c>
      <c r="X45" s="65" t="n">
        <f aca="false">-Payables!X25</f>
        <v>-64006.360725521</v>
      </c>
      <c r="Y45" s="65" t="n">
        <f aca="false">-Payables!Y25</f>
        <v>-52120.5893149465</v>
      </c>
      <c r="Z45" s="65" t="n">
        <f aca="false">-Payables!Z25</f>
        <v>-64094.5732300547</v>
      </c>
      <c r="AA45" s="65" t="n">
        <f aca="false">-Payables!AA25</f>
        <v>-52293.1061988879</v>
      </c>
      <c r="AB45" s="65" t="n">
        <f aca="false">-Payables!AB25</f>
        <v>-52291.8337566322</v>
      </c>
    </row>
    <row r="46" customFormat="false" ht="15" hidden="false" customHeight="false" outlineLevel="0" collapsed="false">
      <c r="A46" s="28" t="s">
        <v>547</v>
      </c>
      <c r="B46" s="62" t="s">
        <v>534</v>
      </c>
      <c r="C46" s="64" t="n">
        <f aca="false">SUM(E46:P46)</f>
        <v>-489600</v>
      </c>
      <c r="D46" s="64" t="n">
        <f aca="false">SUM(Q46:AB46)</f>
        <v>-501840</v>
      </c>
      <c r="E46" s="65" t="n">
        <f aca="false">-Overheads!E20</f>
        <v>-122400</v>
      </c>
      <c r="F46" s="65" t="n">
        <f aca="false">-Overheads!F20</f>
        <v>-0</v>
      </c>
      <c r="G46" s="65" t="n">
        <f aca="false">-Overheads!G20</f>
        <v>-0</v>
      </c>
      <c r="H46" s="65" t="n">
        <f aca="false">-Overheads!H20</f>
        <v>-122400</v>
      </c>
      <c r="I46" s="65" t="n">
        <f aca="false">-Overheads!I20</f>
        <v>-0</v>
      </c>
      <c r="J46" s="65" t="n">
        <f aca="false">-Overheads!J20</f>
        <v>-0</v>
      </c>
      <c r="K46" s="65" t="n">
        <f aca="false">-Overheads!K20</f>
        <v>-122400</v>
      </c>
      <c r="L46" s="65" t="n">
        <f aca="false">-Overheads!L20</f>
        <v>-0</v>
      </c>
      <c r="M46" s="65" t="n">
        <f aca="false">-Overheads!M20</f>
        <v>-0</v>
      </c>
      <c r="N46" s="65" t="n">
        <f aca="false">-Overheads!N20</f>
        <v>-122400</v>
      </c>
      <c r="O46" s="65" t="n">
        <f aca="false">-Overheads!O20</f>
        <v>-0</v>
      </c>
      <c r="P46" s="65" t="n">
        <f aca="false">-Overheads!P20</f>
        <v>-0</v>
      </c>
      <c r="Q46" s="65" t="n">
        <f aca="false">-Overheads!Q20</f>
        <v>-125460</v>
      </c>
      <c r="R46" s="65" t="n">
        <f aca="false">-Overheads!R20</f>
        <v>-0</v>
      </c>
      <c r="S46" s="65" t="n">
        <f aca="false">-Overheads!S20</f>
        <v>-0</v>
      </c>
      <c r="T46" s="65" t="n">
        <f aca="false">-Overheads!T20</f>
        <v>-125460</v>
      </c>
      <c r="U46" s="65" t="n">
        <f aca="false">-Overheads!U20</f>
        <v>-0</v>
      </c>
      <c r="V46" s="65" t="n">
        <f aca="false">-Overheads!V20</f>
        <v>-0</v>
      </c>
      <c r="W46" s="65" t="n">
        <f aca="false">-Overheads!W20</f>
        <v>-125460</v>
      </c>
      <c r="X46" s="65" t="n">
        <f aca="false">-Overheads!X20</f>
        <v>-0</v>
      </c>
      <c r="Y46" s="65" t="n">
        <f aca="false">-Overheads!Y20</f>
        <v>-0</v>
      </c>
      <c r="Z46" s="65" t="n">
        <f aca="false">-Overheads!Z20</f>
        <v>-125460</v>
      </c>
      <c r="AA46" s="65" t="n">
        <f aca="false">-Overheads!AA20</f>
        <v>-0</v>
      </c>
      <c r="AB46" s="65" t="n">
        <f aca="false">-Overheads!AB20</f>
        <v>-0</v>
      </c>
    </row>
    <row r="47" customFormat="false" ht="15" hidden="false" customHeight="false" outlineLevel="0" collapsed="false">
      <c r="A47" s="28" t="s">
        <v>430</v>
      </c>
      <c r="B47" s="62" t="s">
        <v>534</v>
      </c>
      <c r="C47" s="64" t="n">
        <f aca="false">SUM(E47:P47)</f>
        <v>-54000</v>
      </c>
      <c r="D47" s="64" t="n">
        <f aca="false">SUM(Q47:AB47)</f>
        <v>-55350</v>
      </c>
      <c r="E47" s="65" t="n">
        <f aca="false">-Overheads!E22</f>
        <v>-4500</v>
      </c>
      <c r="F47" s="65" t="n">
        <f aca="false">-Overheads!F22</f>
        <v>-4500</v>
      </c>
      <c r="G47" s="65" t="n">
        <f aca="false">-Overheads!G22</f>
        <v>-4500</v>
      </c>
      <c r="H47" s="65" t="n">
        <f aca="false">-Overheads!H22</f>
        <v>-4500</v>
      </c>
      <c r="I47" s="65" t="n">
        <f aca="false">-Overheads!I22</f>
        <v>-4500</v>
      </c>
      <c r="J47" s="65" t="n">
        <f aca="false">-Overheads!J22</f>
        <v>-4500</v>
      </c>
      <c r="K47" s="65" t="n">
        <f aca="false">-Overheads!K22</f>
        <v>-4500</v>
      </c>
      <c r="L47" s="65" t="n">
        <f aca="false">-Overheads!L22</f>
        <v>-4500</v>
      </c>
      <c r="M47" s="65" t="n">
        <f aca="false">-Overheads!M22</f>
        <v>-4500</v>
      </c>
      <c r="N47" s="65" t="n">
        <f aca="false">-Overheads!N22</f>
        <v>-4500</v>
      </c>
      <c r="O47" s="65" t="n">
        <f aca="false">-Overheads!O22</f>
        <v>-4500</v>
      </c>
      <c r="P47" s="65" t="n">
        <f aca="false">-Overheads!P22</f>
        <v>-4500</v>
      </c>
      <c r="Q47" s="65" t="n">
        <f aca="false">-Overheads!Q22</f>
        <v>-4612.5</v>
      </c>
      <c r="R47" s="65" t="n">
        <f aca="false">-Overheads!R22</f>
        <v>-4612.5</v>
      </c>
      <c r="S47" s="65" t="n">
        <f aca="false">-Overheads!S22</f>
        <v>-4612.5</v>
      </c>
      <c r="T47" s="65" t="n">
        <f aca="false">-Overheads!T22</f>
        <v>-4612.5</v>
      </c>
      <c r="U47" s="65" t="n">
        <f aca="false">-Overheads!U22</f>
        <v>-4612.5</v>
      </c>
      <c r="V47" s="65" t="n">
        <f aca="false">-Overheads!V22</f>
        <v>-4612.5</v>
      </c>
      <c r="W47" s="65" t="n">
        <f aca="false">-Overheads!W22</f>
        <v>-4612.5</v>
      </c>
      <c r="X47" s="65" t="n">
        <f aca="false">-Overheads!X22</f>
        <v>-4612.5</v>
      </c>
      <c r="Y47" s="65" t="n">
        <f aca="false">-Overheads!Y22</f>
        <v>-4612.5</v>
      </c>
      <c r="Z47" s="65" t="n">
        <f aca="false">-Overheads!Z22</f>
        <v>-4612.5</v>
      </c>
      <c r="AA47" s="65" t="n">
        <f aca="false">-Overheads!AA22</f>
        <v>-4612.5</v>
      </c>
      <c r="AB47" s="65" t="n">
        <f aca="false">-Overheads!AB22</f>
        <v>-4612.5</v>
      </c>
    </row>
    <row r="48" customFormat="false" ht="15" hidden="false" customHeight="false" outlineLevel="0" collapsed="false">
      <c r="A48" s="28" t="s">
        <v>548</v>
      </c>
      <c r="B48" s="62" t="s">
        <v>534</v>
      </c>
      <c r="C48" s="64" t="n">
        <f aca="false">SUM(E48:P48)</f>
        <v>-286708.453129125</v>
      </c>
      <c r="D48" s="64" t="n">
        <f aca="false">SUM(Q48:AB48)</f>
        <v>-438452.753659395</v>
      </c>
      <c r="E48" s="65" t="n">
        <f aca="false">-VAT!E13</f>
        <v>-23815.14</v>
      </c>
      <c r="F48" s="65" t="n">
        <f aca="false">-VAT!F13</f>
        <v>-5032.49</v>
      </c>
      <c r="G48" s="65" t="n">
        <f aca="false">-VAT!G13</f>
        <v>-29880.54</v>
      </c>
      <c r="H48" s="65" t="n">
        <f aca="false">-VAT!H13</f>
        <v>-24527.85</v>
      </c>
      <c r="I48" s="65" t="n">
        <f aca="false">-VAT!I13</f>
        <v>-0</v>
      </c>
      <c r="J48" s="65" t="n">
        <f aca="false">-VAT!J13</f>
        <v>-32840.42</v>
      </c>
      <c r="K48" s="65" t="n">
        <f aca="false">-VAT!K13</f>
        <v>-35412.85</v>
      </c>
      <c r="L48" s="65" t="n">
        <f aca="false">-VAT!L13</f>
        <v>-4281.6</v>
      </c>
      <c r="M48" s="65" t="n">
        <f aca="false">-VAT!M13</f>
        <v>-38769.3256333333</v>
      </c>
      <c r="N48" s="65" t="n">
        <f aca="false">-VAT!N13</f>
        <v>-39723.8988884853</v>
      </c>
      <c r="O48" s="65" t="n">
        <f aca="false">-VAT!O13</f>
        <v>-14685.1253764641</v>
      </c>
      <c r="P48" s="65" t="n">
        <f aca="false">-VAT!P13</f>
        <v>-37739.2132308419</v>
      </c>
      <c r="Q48" s="65" t="n">
        <f aca="false">-VAT!Q13</f>
        <v>-40409.9977766103</v>
      </c>
      <c r="R48" s="65" t="n">
        <f aca="false">-VAT!R13</f>
        <v>-18797.5204708302</v>
      </c>
      <c r="S48" s="65" t="n">
        <f aca="false">-VAT!S13</f>
        <v>-31744.6169716078</v>
      </c>
      <c r="T48" s="65" t="n">
        <f aca="false">-VAT!T13</f>
        <v>-42543.3570571651</v>
      </c>
      <c r="U48" s="65" t="n">
        <f aca="false">-VAT!U13</f>
        <v>-17046.9411367504</v>
      </c>
      <c r="V48" s="65" t="n">
        <f aca="false">-VAT!V13</f>
        <v>-48012.3653547521</v>
      </c>
      <c r="W48" s="65" t="n">
        <f aca="false">-VAT!W13</f>
        <v>-55270.0495621072</v>
      </c>
      <c r="X48" s="65" t="n">
        <f aca="false">-VAT!X13</f>
        <v>-22335.4065589683</v>
      </c>
      <c r="Y48" s="65" t="n">
        <f aca="false">-VAT!Y13</f>
        <v>-43296.8580407252</v>
      </c>
      <c r="Z48" s="65" t="n">
        <f aca="false">-VAT!Z13</f>
        <v>-47301.8129247223</v>
      </c>
      <c r="AA48" s="65" t="n">
        <f aca="false">-VAT!AA13</f>
        <v>-22777.1426032231</v>
      </c>
      <c r="AB48" s="65" t="n">
        <f aca="false">-VAT!AB13</f>
        <v>-48916.6852019331</v>
      </c>
    </row>
    <row r="49" customFormat="false" ht="15" hidden="false" customHeight="false" outlineLevel="0" collapsed="false">
      <c r="A49" s="28" t="s">
        <v>549</v>
      </c>
      <c r="B49" s="62" t="s">
        <v>534</v>
      </c>
      <c r="C49" s="64" t="n">
        <f aca="false">SUM(E49:P49)</f>
        <v>-17100</v>
      </c>
      <c r="D49" s="64" t="n">
        <f aca="false">SUM(Q49:AB49)</f>
        <v>-17400</v>
      </c>
      <c r="E49" s="65" t="n">
        <f aca="false">-Overheads!E24</f>
        <v>-0</v>
      </c>
      <c r="F49" s="65" t="n">
        <f aca="false">-Overheads!F24</f>
        <v>-0</v>
      </c>
      <c r="G49" s="65" t="n">
        <f aca="false">-Overheads!G24</f>
        <v>-0</v>
      </c>
      <c r="H49" s="65" t="n">
        <f aca="false">-Overheads!H24</f>
        <v>-0</v>
      </c>
      <c r="I49" s="65" t="n">
        <f aca="false">-Overheads!I24</f>
        <v>-500</v>
      </c>
      <c r="J49" s="65" t="n">
        <f aca="false">-Overheads!J24</f>
        <v>-8050</v>
      </c>
      <c r="K49" s="65" t="n">
        <f aca="false">-Overheads!K24</f>
        <v>-0</v>
      </c>
      <c r="L49" s="65" t="n">
        <f aca="false">-Overheads!L24</f>
        <v>-0</v>
      </c>
      <c r="M49" s="65" t="n">
        <f aca="false">-Overheads!M24</f>
        <v>-1850</v>
      </c>
      <c r="N49" s="65" t="n">
        <f aca="false">-Overheads!N24</f>
        <v>-0</v>
      </c>
      <c r="O49" s="65" t="n">
        <f aca="false">-Overheads!O24</f>
        <v>-0</v>
      </c>
      <c r="P49" s="65" t="n">
        <f aca="false">-Overheads!P24</f>
        <v>-6700</v>
      </c>
      <c r="Q49" s="65" t="n">
        <f aca="false">-Overheads!Q24</f>
        <v>-0</v>
      </c>
      <c r="R49" s="65" t="n">
        <f aca="false">-Overheads!R24</f>
        <v>-0</v>
      </c>
      <c r="S49" s="65" t="n">
        <f aca="false">-Overheads!S24</f>
        <v>-0</v>
      </c>
      <c r="T49" s="65" t="n">
        <f aca="false">-Overheads!T24</f>
        <v>-0</v>
      </c>
      <c r="U49" s="65" t="n">
        <f aca="false">-Overheads!U24</f>
        <v>-200</v>
      </c>
      <c r="V49" s="65" t="n">
        <f aca="false">-Overheads!V24</f>
        <v>-8400</v>
      </c>
      <c r="W49" s="65" t="n">
        <f aca="false">-Overheads!W24</f>
        <v>-0</v>
      </c>
      <c r="X49" s="65" t="n">
        <f aca="false">-Overheads!X24</f>
        <v>-0</v>
      </c>
      <c r="Y49" s="65" t="n">
        <f aca="false">-Overheads!Y24</f>
        <v>-1950</v>
      </c>
      <c r="Z49" s="65" t="n">
        <f aca="false">-Overheads!Z24</f>
        <v>-0</v>
      </c>
      <c r="AA49" s="65" t="n">
        <f aca="false">-Overheads!AA24</f>
        <v>-0</v>
      </c>
      <c r="AB49" s="65" t="n">
        <f aca="false">-Overheads!AB24</f>
        <v>-6850</v>
      </c>
    </row>
    <row r="50" customFormat="false" ht="15" hidden="false" customHeight="false" outlineLevel="0" collapsed="false">
      <c r="A50" s="28" t="s">
        <v>444</v>
      </c>
      <c r="B50" s="62" t="s">
        <v>534</v>
      </c>
      <c r="C50" s="64" t="n">
        <f aca="false">SUM(E50:P50)</f>
        <v>0</v>
      </c>
      <c r="D50" s="64" t="n">
        <f aca="false">SUM(Q50:AB50)</f>
        <v>0</v>
      </c>
      <c r="E50" s="65" t="n">
        <f aca="false">-Tax!E17</f>
        <v>-0</v>
      </c>
      <c r="F50" s="65" t="n">
        <f aca="false">-Tax!F17</f>
        <v>-0</v>
      </c>
      <c r="G50" s="65" t="n">
        <f aca="false">-Tax!G17</f>
        <v>-0</v>
      </c>
      <c r="H50" s="65" t="n">
        <f aca="false">-Tax!H17</f>
        <v>-0</v>
      </c>
      <c r="I50" s="65" t="n">
        <f aca="false">-Tax!I17</f>
        <v>-0</v>
      </c>
      <c r="J50" s="65" t="n">
        <f aca="false">-Tax!J17</f>
        <v>-0</v>
      </c>
      <c r="K50" s="65" t="n">
        <f aca="false">-Tax!K17</f>
        <v>-0</v>
      </c>
      <c r="L50" s="65" t="n">
        <f aca="false">-Tax!L17</f>
        <v>-0</v>
      </c>
      <c r="M50" s="65" t="n">
        <f aca="false">-Tax!M17</f>
        <v>-0</v>
      </c>
      <c r="N50" s="65" t="n">
        <f aca="false">-Tax!N17</f>
        <v>-0</v>
      </c>
      <c r="O50" s="65" t="n">
        <f aca="false">-Tax!O17</f>
        <v>-0</v>
      </c>
      <c r="P50" s="65" t="n">
        <f aca="false">-Tax!P17</f>
        <v>-0</v>
      </c>
      <c r="Q50" s="65" t="n">
        <f aca="false">-Tax!Q17</f>
        <v>-0</v>
      </c>
      <c r="R50" s="65" t="n">
        <f aca="false">-Tax!R17</f>
        <v>-0</v>
      </c>
      <c r="S50" s="65" t="n">
        <f aca="false">-Tax!S17</f>
        <v>-0</v>
      </c>
      <c r="T50" s="65" t="n">
        <f aca="false">-Tax!T17</f>
        <v>-0</v>
      </c>
      <c r="U50" s="65" t="n">
        <f aca="false">-Tax!U17</f>
        <v>-0</v>
      </c>
      <c r="V50" s="65" t="n">
        <f aca="false">-Tax!V17</f>
        <v>-0</v>
      </c>
      <c r="W50" s="65" t="n">
        <f aca="false">-Tax!W17</f>
        <v>-0</v>
      </c>
      <c r="X50" s="65" t="n">
        <f aca="false">-Tax!X17</f>
        <v>-0</v>
      </c>
      <c r="Y50" s="65" t="n">
        <f aca="false">-Tax!Y17</f>
        <v>-0</v>
      </c>
      <c r="Z50" s="65" t="n">
        <f aca="false">-Tax!Z17</f>
        <v>-0</v>
      </c>
      <c r="AA50" s="65" t="n">
        <f aca="false">-Tax!AA17</f>
        <v>-0</v>
      </c>
      <c r="AB50" s="65" t="n">
        <f aca="false">-Tax!AB17</f>
        <v>-0</v>
      </c>
    </row>
    <row r="51" customFormat="false" ht="15" hidden="false" customHeight="false" outlineLevel="0" collapsed="false">
      <c r="A51" s="58" t="s">
        <v>550</v>
      </c>
      <c r="B51" s="59"/>
      <c r="C51" s="60" t="n">
        <f aca="false">SUM(E51:P51)</f>
        <v>-4406813.28513405</v>
      </c>
      <c r="D51" s="60" t="n">
        <f aca="false">SUM(Q51:AB51)</f>
        <v>-4267257.1662604</v>
      </c>
      <c r="E51" s="60" t="n">
        <f aca="false">E33+E34+E35+E36+E37+E38+E39+E40+E41+E42+E43+E44+E45+E46+E47+E48+E49+E50</f>
        <v>-506193.15</v>
      </c>
      <c r="F51" s="60" t="n">
        <f aca="false">F33+F34+F35+F36+F37+F38+F39+F40+F41+F42+F43+F44+F45+F46+F47+F48+F49+F50</f>
        <v>-359984.97</v>
      </c>
      <c r="G51" s="60" t="n">
        <f aca="false">G33+G34+G35+G36+G37+G38+G39+G40+G41+G42+G43+G44+G45+G46+G47+G48+G49+G50</f>
        <v>-416827.3643</v>
      </c>
      <c r="H51" s="60" t="n">
        <f aca="false">H33+H34+H35+H36+H37+H38+H39+H40+H41+H42+H43+H44+H45+H46+H47+H48+H49+H50</f>
        <v>-642670.77</v>
      </c>
      <c r="I51" s="60" t="n">
        <f aca="false">I33+I34+I35+I36+I37+I38+I39+I40+I41+I42+I43+I44+I45+I46+I47+I48+I49+I50</f>
        <v>-428040.9766</v>
      </c>
      <c r="J51" s="60" t="n">
        <f aca="false">J33+J34+J35+J36+J37+J38+J39+J40+J41+J42+J43+J44+J45+J46+J47+J48+J49+J50</f>
        <v>-401635.51</v>
      </c>
      <c r="K51" s="60" t="n">
        <f aca="false">K33+K34+K35+K36+K37+K38+K39+K40+K41+K42+K43+K44+K45+K46+K47+K48+K49+K50</f>
        <v>302479.9957</v>
      </c>
      <c r="L51" s="60" t="n">
        <f aca="false">L33+L34+L35+L36+L37+L38+L39+L40+L41+L42+L43+L44+L45+L46+L47+L48+L49+L50</f>
        <v>-409878.3308</v>
      </c>
      <c r="M51" s="60" t="n">
        <f aca="false">M33+M34+M35+M36+M37+M38+M39+M40+M41+M42+M43+M44+M45+M46+M47+M48+M49+M50</f>
        <v>-311552.095574322</v>
      </c>
      <c r="N51" s="60" t="n">
        <f aca="false">N33+N34+N35+N36+N37+N38+N39+N40+N41+N42+N43+N44+N45+N46+N47+N48+N49+N50</f>
        <v>-550458.022318192</v>
      </c>
      <c r="O51" s="60" t="n">
        <f aca="false">O33+O34+O35+O36+O37+O38+O39+O40+O41+O42+O43+O44+O45+O46+O47+O48+O49+O50</f>
        <v>-374714.998802299</v>
      </c>
      <c r="P51" s="60" t="n">
        <f aca="false">P33+P34+P35+P36+P37+P38+P39+P40+P41+P42+P43+P44+P45+P46+P47+P48+P49+P50</f>
        <v>-307337.092439237</v>
      </c>
      <c r="Q51" s="60" t="n">
        <f aca="false">Q33+Q34+Q35+Q36+Q37+Q38+Q39+Q40+Q41+Q42+Q43+Q44+Q45+Q46+Q47+Q48+Q49+Q50</f>
        <v>-627969.739776473</v>
      </c>
      <c r="R51" s="60" t="n">
        <f aca="false">R33+R34+R35+R36+R37+R38+R39+R40+R41+R42+R43+R44+R45+R46+R47+R48+R49+R50</f>
        <v>-423405.173509064</v>
      </c>
      <c r="S51" s="60" t="n">
        <f aca="false">S33+S34+S35+S36+S37+S38+S39+S40+S41+S42+S43+S44+S45+S46+S47+S48+S49+S50</f>
        <v>-318904.47058364</v>
      </c>
      <c r="T51" s="60" t="n">
        <f aca="false">T33+T34+T35+T36+T37+T38+T39+T40+T41+T42+T43+T44+T45+T46+T47+T48+T49+T50</f>
        <v>-598262.489639251</v>
      </c>
      <c r="U51" s="60" t="n">
        <f aca="false">U33+U34+U35+U36+U37+U38+U39+U40+U41+U42+U43+U44+U45+U46+U47+U48+U49+U50</f>
        <v>-382929.600644943</v>
      </c>
      <c r="V51" s="60" t="n">
        <f aca="false">V33+V34+V35+V36+V37+V38+V39+V40+V41+V42+V43+V44+V45+V46+V47+V48+V49+V50</f>
        <v>-314439.013872308</v>
      </c>
      <c r="W51" s="60" t="n">
        <f aca="false">W33+W34+W35+W36+W37+W38+W39+W40+W41+W42+W43+W44+W45+W46+W47+W48+W49+W50</f>
        <v>-576639.56976765</v>
      </c>
      <c r="X51" s="60" t="n">
        <f aca="false">X33+X34+X35+X36+X37+X38+X39+X40+X41+X42+X43+X44+X45+X46+X47+X48+X49+X50</f>
        <v>-478845.337258216</v>
      </c>
      <c r="Y51" s="60" t="n">
        <f aca="false">Y33+Y34+Y35+Y36+Y37+Y38+Y39+Y40+Y41+Y42+Y43+Y44+Y45+Y46+Y47+Y48+Y49+Y50</f>
        <v>781764.117408241</v>
      </c>
      <c r="Z51" s="60" t="n">
        <f aca="false">Z33+Z34+Z35+Z36+Z37+Z38+Z39+Z40+Z41+Z42+Z43+Z44+Z45+Z46+Z47+Z48+Z49+Z50</f>
        <v>-557622.343345176</v>
      </c>
      <c r="AA51" s="60" t="n">
        <f aca="false">AA33+AA34+AA35+AA36+AA37+AA38+AA39+AA40+AA41+AA42+AA43+AA44+AA45+AA46+AA47+AA48+AA49+AA50</f>
        <v>-411762.801053133</v>
      </c>
      <c r="AB51" s="60" t="n">
        <f aca="false">AB33+AB34+AB35+AB36+AB37+AB38+AB39+AB40+AB41+AB42+AB43+AB44+AB45+AB46+AB47+AB48+AB49+AB50</f>
        <v>-358240.744218787</v>
      </c>
    </row>
    <row r="52" customFormat="false" ht="15" hidden="false" customHeight="false" outlineLevel="0" collapsed="false">
      <c r="A52" s="58" t="s">
        <v>551</v>
      </c>
      <c r="B52" s="59"/>
      <c r="C52" s="60" t="n">
        <f aca="false">SUM(E52:P52)</f>
        <v>0</v>
      </c>
      <c r="D52" s="60" t="n">
        <f aca="false">SUM(Q52:AB52)</f>
        <v>0</v>
      </c>
      <c r="E52" s="60" t="n">
        <f aca="false">ROUND(E28-E51,2)</f>
        <v>-0</v>
      </c>
      <c r="F52" s="60" t="n">
        <f aca="false">ROUND(F28-F51,2)</f>
        <v>0</v>
      </c>
      <c r="G52" s="60" t="n">
        <f aca="false">ROUND(G28-G51,2)</f>
        <v>0</v>
      </c>
      <c r="H52" s="60" t="n">
        <f aca="false">ROUND(H28-H51,2)</f>
        <v>0</v>
      </c>
      <c r="I52" s="60" t="n">
        <f aca="false">ROUND(I28-I51,2)</f>
        <v>0</v>
      </c>
      <c r="J52" s="60" t="n">
        <f aca="false">ROUND(J28-J51,2)</f>
        <v>0</v>
      </c>
      <c r="K52" s="60" t="n">
        <f aca="false">ROUND(K28-K51,2)</f>
        <v>0</v>
      </c>
      <c r="L52" s="60" t="n">
        <f aca="false">ROUND(L28-L51,2)</f>
        <v>0</v>
      </c>
      <c r="M52" s="60" t="n">
        <f aca="false">ROUND(M28-M51,2)</f>
        <v>0</v>
      </c>
      <c r="N52" s="60" t="n">
        <f aca="false">ROUND(N28-N51,2)</f>
        <v>0</v>
      </c>
      <c r="O52" s="60" t="n">
        <f aca="false">ROUND(O28-O51,2)</f>
        <v>0</v>
      </c>
      <c r="P52" s="60" t="n">
        <f aca="false">ROUND(P28-P51,2)</f>
        <v>0</v>
      </c>
      <c r="Q52" s="60" t="n">
        <f aca="false">ROUND(Q28-Q51,2)</f>
        <v>0</v>
      </c>
      <c r="R52" s="60" t="n">
        <f aca="false">ROUND(R28-R51,2)</f>
        <v>0</v>
      </c>
      <c r="S52" s="60" t="n">
        <f aca="false">ROUND(S28-S51,2)</f>
        <v>0</v>
      </c>
      <c r="T52" s="60" t="n">
        <f aca="false">ROUND(T28-T51,2)</f>
        <v>0</v>
      </c>
      <c r="U52" s="60" t="n">
        <f aca="false">ROUND(U28-U51,2)</f>
        <v>0</v>
      </c>
      <c r="V52" s="60" t="n">
        <f aca="false">ROUND(V28-V51,2)</f>
        <v>0</v>
      </c>
      <c r="W52" s="60" t="n">
        <f aca="false">ROUND(W28-W51,2)</f>
        <v>0</v>
      </c>
      <c r="X52" s="60" t="n">
        <f aca="false">ROUND(X28-X51,2)</f>
        <v>0</v>
      </c>
      <c r="Y52" s="60" t="n">
        <f aca="false">ROUND(Y28-Y51,2)</f>
        <v>0</v>
      </c>
      <c r="Z52" s="60" t="n">
        <f aca="false">ROUND(Z28-Z51,2)</f>
        <v>0</v>
      </c>
      <c r="AA52" s="60" t="n">
        <f aca="false">ROUND(AA28-AA51,2)</f>
        <v>0</v>
      </c>
      <c r="AB52" s="60" t="n">
        <f aca="false">ROUND(AB28-AB51,2)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8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70"/>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552</v>
      </c>
    </row>
    <row r="3" customFormat="false" ht="15" hidden="false" customHeight="false" outlineLevel="0" collapsed="false">
      <c r="A3" s="25" t="s">
        <v>553</v>
      </c>
    </row>
    <row r="5" customFormat="false" ht="15" hidden="false" customHeight="false" outlineLevel="0" collapsed="false">
      <c r="A5" s="26" t="s">
        <v>341</v>
      </c>
      <c r="B5" s="27" t="s">
        <v>554</v>
      </c>
      <c r="C5" s="27" t="s">
        <v>555</v>
      </c>
      <c r="D5" s="27" t="s">
        <v>556</v>
      </c>
      <c r="E5" s="27" t="s">
        <v>557</v>
      </c>
      <c r="F5" s="27" t="s">
        <v>558</v>
      </c>
      <c r="G5" s="27" t="s">
        <v>559</v>
      </c>
      <c r="H5" s="27" t="s">
        <v>556</v>
      </c>
      <c r="I5" s="27" t="s">
        <v>557</v>
      </c>
      <c r="J5" s="27" t="s">
        <v>560</v>
      </c>
    </row>
    <row r="6" customFormat="false" ht="15" hidden="false" customHeight="false" outlineLevel="0" collapsed="false">
      <c r="A6" s="22" t="s">
        <v>397</v>
      </c>
      <c r="B6" s="23"/>
      <c r="C6" s="23"/>
      <c r="D6" s="23"/>
      <c r="E6" s="23"/>
      <c r="F6" s="23"/>
      <c r="G6" s="23"/>
      <c r="H6" s="23"/>
      <c r="I6" s="23"/>
      <c r="J6" s="23"/>
    </row>
    <row r="7" customFormat="false" ht="15" hidden="false" customHeight="false" outlineLevel="0" collapsed="false">
      <c r="A7" s="28" t="s">
        <v>561</v>
      </c>
      <c r="B7" s="65" t="n">
        <f aca="false">SUMIFS(PL!$E$57:$AB$57,Assumptions!$E$205:$AB$205,"A")</f>
        <v>666407.649090909</v>
      </c>
      <c r="C7" s="65" t="n">
        <f aca="false">SUMIFS(Budget_FY26!$E$9:$P$9,Assumptions!$E$204:$P$204,"&lt;="&amp;Assumptions!$C$10)</f>
        <v>650318.63</v>
      </c>
      <c r="D7" s="73" t="n">
        <f aca="false">B7-C7</f>
        <v>16089.0190909092</v>
      </c>
      <c r="E7" s="75" t="n">
        <f aca="false">IF(C7=0,0,D7/ABS(C7))</f>
        <v>0.0247402094122833</v>
      </c>
      <c r="F7" s="65" t="n">
        <f aca="false">PL!$C$57</f>
        <v>1053571.21815162</v>
      </c>
      <c r="G7" s="65" t="n">
        <f aca="false">Budget_FY26!$C$9</f>
        <v>1018411.47</v>
      </c>
      <c r="H7" s="73" t="n">
        <f aca="false">F7-G7</f>
        <v>35159.7481516245</v>
      </c>
      <c r="I7" s="75" t="n">
        <f aca="false">IF(G7=0,0,H7/ABS(G7))</f>
        <v>0.0345241085625484</v>
      </c>
      <c r="J7" s="46" t="str">
        <f aca="false">"Credits used "&amp;IF(BvA!E56&gt;=0,"above","below")&amp;" budget; pack true-ups "&amp;IF(BvA!E57&gt;=0,"favourable.","slightly negative.")</f>
        <v>Credits used above budget; pack true-ups slightly negative.</v>
      </c>
    </row>
    <row r="8" customFormat="false" ht="22.35" hidden="false" customHeight="false" outlineLevel="0" collapsed="false">
      <c r="A8" s="28" t="s">
        <v>562</v>
      </c>
      <c r="B8" s="65" t="n">
        <f aca="false">SUMIFS(PL!$E$58:$AB$58,Assumptions!$E$205:$AB$205,"A")</f>
        <v>1576742.47</v>
      </c>
      <c r="C8" s="65" t="n">
        <f aca="false">SUMIFS(Budget_FY26!$E$10:$P$10,Assumptions!$E$204:$P$204,"&lt;="&amp;Assumptions!$C$10)+SUMIFS(Budget_FY26!$E$11:$P$11,Assumptions!$E$204:$P$204,"&lt;="&amp;Assumptions!$C$10)</f>
        <v>1608464.18</v>
      </c>
      <c r="D8" s="73" t="n">
        <f aca="false">B8-C8</f>
        <v>-31721.7100000002</v>
      </c>
      <c r="E8" s="75" t="n">
        <f aca="false">IF(C8=0,0,D8/ABS(C8))</f>
        <v>-0.0197217385344573</v>
      </c>
      <c r="F8" s="65" t="n">
        <f aca="false">PL!$C$58</f>
        <v>2433455.80952251</v>
      </c>
      <c r="G8" s="65" t="n">
        <f aca="false">Budget_FY26!$C$10+Budget_FY26!$C$11</f>
        <v>2544914.2</v>
      </c>
      <c r="H8" s="73" t="n">
        <f aca="false">F8-G8</f>
        <v>-111458.390477491</v>
      </c>
      <c r="I8" s="75" t="n">
        <f aca="false">IF(G8=0,0,H8/ABS(G8))</f>
        <v>-0.0437965218935439</v>
      </c>
      <c r="J8" s="46" t="str">
        <f aca="false">"New customers "&amp;TEXT(AVERAGEIFS(Team!$E$9:$AB$9,Assumptions!$E$205:$AB$205,"A"),"0.0")&amp;" a month against "&amp;TEXT((SUMIFS(Budget_FY26!$E$53:$P$53,Assumptions!$E$204:$P$204,"&lt;="&amp;Assumptions!$C$10)/Assumptions!$C$10),"0.0")&amp;" budgeted; usage above the allowance ahead of budget."</f>
        <v>New customers 14.5 a month against 17.6 budgeted; usage above the allowance ahead of budget.</v>
      </c>
    </row>
    <row r="9" customFormat="false" ht="22.35" hidden="false" customHeight="false" outlineLevel="0" collapsed="false">
      <c r="A9" s="28" t="s">
        <v>563</v>
      </c>
      <c r="B9" s="65" t="n">
        <f aca="false">SUMIFS(PL!$E$59:$AB$59,Assumptions!$E$205:$AB$205,"A")</f>
        <v>1963202.29</v>
      </c>
      <c r="C9" s="65" t="n">
        <f aca="false">SUMIFS(Budget_FY26!$E$12:$P$12,Assumptions!$E$204:$P$204,"&lt;="&amp;Assumptions!$C$10)</f>
        <v>2056730.31</v>
      </c>
      <c r="D9" s="73" t="n">
        <f aca="false">B9-C9</f>
        <v>-93528.02</v>
      </c>
      <c r="E9" s="75" t="n">
        <f aca="false">IF(C9=0,0,D9/ABS(C9))</f>
        <v>-0.045474129274635</v>
      </c>
      <c r="F9" s="65" t="n">
        <f aca="false">PL!$C$59</f>
        <v>3128201.11722054</v>
      </c>
      <c r="G9" s="65" t="n">
        <f aca="false">Budget_FY26!$C$12</f>
        <v>3311667.77</v>
      </c>
      <c r="H9" s="73" t="n">
        <f aca="false">F9-G9</f>
        <v>-183466.652779462</v>
      </c>
      <c r="I9" s="75" t="n">
        <f aca="false">IF(G9=0,0,H9/ABS(G9))</f>
        <v>-0.0554000780034351</v>
      </c>
      <c r="J9" s="46" t="str">
        <f aca="false">"Pravenza Retail lost at the March renewal; two accounts won later than the four budgeted; existing accounts ahead on usage."</f>
        <v>Pravenza Retail lost at the March renewal; two accounts won later than the four budgeted; existing accounts ahead on usage.</v>
      </c>
    </row>
    <row r="10" customFormat="false" ht="15" hidden="false" customHeight="false" outlineLevel="0" collapsed="false">
      <c r="A10" s="76" t="s">
        <v>406</v>
      </c>
      <c r="B10" s="61" t="n">
        <f aca="false">SUMIFS(PL!$E$15:$AB$15,Assumptions!$E$205:$AB$205,"A")</f>
        <v>4206352.40909091</v>
      </c>
      <c r="C10" s="61" t="n">
        <f aca="false">SUMIFS(Budget_FY26!$E$13:$P$13,Assumptions!$E$204:$P$204,"&lt;="&amp;Assumptions!$C$10)</f>
        <v>4315513.12</v>
      </c>
      <c r="D10" s="60" t="n">
        <f aca="false">B10-C10</f>
        <v>-109160.710909091</v>
      </c>
      <c r="E10" s="77" t="n">
        <f aca="false">IF(C10=0,0,D10/ABS(C10))</f>
        <v>-0.0252949551707286</v>
      </c>
      <c r="F10" s="61" t="n">
        <f aca="false">PL!$C$15</f>
        <v>6615228.14489467</v>
      </c>
      <c r="G10" s="61" t="n">
        <f aca="false">Budget_FY26!$C$13</f>
        <v>6874993.44</v>
      </c>
      <c r="H10" s="60" t="n">
        <f aca="false">F10-G10</f>
        <v>-259765.295105328</v>
      </c>
      <c r="I10" s="77" t="n">
        <f aca="false">IF(G10=0,0,H10/ABS(G10))</f>
        <v>-0.0377840789772925</v>
      </c>
      <c r="J10" s="78" t="str">
        <f aca="false">"Revenue by cause: see the table below."</f>
        <v>Revenue by cause: see the table below.</v>
      </c>
    </row>
    <row r="11" customFormat="false" ht="15" hidden="false" customHeight="false" outlineLevel="0" collapsed="false">
      <c r="A11" s="28" t="s">
        <v>408</v>
      </c>
      <c r="B11" s="65" t="n">
        <f aca="false">SUMIFS(PL!$E$17:$AB$17,Assumptions!$E$205:$AB$205,"A")</f>
        <v>-136262.05798545</v>
      </c>
      <c r="C11" s="65" t="n">
        <f aca="false">SUMIFS(Budget_FY26!$E$15:$P$15,Assumptions!$E$204:$P$204,"&lt;="&amp;Assumptions!$C$10)</f>
        <v>-141893.62</v>
      </c>
      <c r="D11" s="73" t="n">
        <f aca="false">B11-C11</f>
        <v>5631.56201455026</v>
      </c>
      <c r="E11" s="75" t="n">
        <f aca="false">IF(C11=0,0,D11/ABS(C11))</f>
        <v>0.0396886203519951</v>
      </c>
      <c r="F11" s="65" t="n">
        <f aca="false">PL!$C$17</f>
        <v>-211964.914756328</v>
      </c>
      <c r="G11" s="65" t="n">
        <f aca="false">Budget_FY26!$C$15</f>
        <v>-219472.86</v>
      </c>
      <c r="H11" s="73" t="n">
        <f aca="false">F11-G11</f>
        <v>7507.94524367154</v>
      </c>
      <c r="I11" s="75" t="n">
        <f aca="false">IF(G11=0,0,H11/ABS(G11))</f>
        <v>0.0342089916888655</v>
      </c>
      <c r="J11" s="46" t="str">
        <f aca="false">"Weaker dollar than the "&amp;TEXT((Budget_FY26!$L$70),"0.00")&amp;" budgeted."</f>
        <v>Weaker dollar than the 1.10 budgeted.</v>
      </c>
    </row>
    <row r="12" customFormat="false" ht="15" hidden="false" customHeight="false" outlineLevel="0" collapsed="false">
      <c r="A12" s="28" t="s">
        <v>409</v>
      </c>
      <c r="B12" s="65" t="n">
        <f aca="false">SUMIFS(PL!$E$18:$AB$18,Assumptions!$E$205:$AB$205,"A")</f>
        <v>0</v>
      </c>
      <c r="C12" s="65" t="n">
        <f aca="false">SUMIFS(Budget_FY26!$E$16:$P$16,Assumptions!$E$204:$P$204,"&lt;="&amp;Assumptions!$C$10)</f>
        <v>0</v>
      </c>
      <c r="D12" s="73" t="n">
        <f aca="false">B12-C12</f>
        <v>0</v>
      </c>
      <c r="E12" s="75" t="n">
        <f aca="false">IF(C12=0,0,D12/ABS(C12))</f>
        <v>0</v>
      </c>
      <c r="F12" s="65" t="n">
        <f aca="false">PL!$C$18</f>
        <v>0</v>
      </c>
      <c r="G12" s="65" t="n">
        <f aca="false">Budget_FY26!$C$16</f>
        <v>0</v>
      </c>
      <c r="H12" s="73" t="n">
        <f aca="false">F12-G12</f>
        <v>0</v>
      </c>
      <c r="I12" s="75" t="n">
        <f aca="false">IF(G12=0,0,H12/ABS(G12))</f>
        <v>0</v>
      </c>
    </row>
    <row r="13" customFormat="false" ht="15" hidden="false" customHeight="false" outlineLevel="0" collapsed="false">
      <c r="A13" s="28" t="s">
        <v>564</v>
      </c>
      <c r="B13" s="65" t="n">
        <f aca="false">SUMIFS(PL!$E$19:$AB$19,Assumptions!$E$205:$AB$205,"A")</f>
        <v>-671921.292486575</v>
      </c>
      <c r="C13" s="65" t="n">
        <f aca="false">SUMIFS(Budget_FY26!$E$17:$P$17,Assumptions!$E$204:$P$204,"&lt;="&amp;Assumptions!$C$10)</f>
        <v>-639196.69</v>
      </c>
      <c r="D13" s="73" t="n">
        <f aca="false">B13-C13</f>
        <v>-32724.6024865744</v>
      </c>
      <c r="E13" s="75" t="n">
        <f aca="false">IF(C13=0,0,D13/ABS(C13))</f>
        <v>-0.0511964517315858</v>
      </c>
      <c r="F13" s="65" t="n">
        <f aca="false">PL!$C$19</f>
        <v>-994952.490817297</v>
      </c>
      <c r="G13" s="65" t="n">
        <f aca="false">Budget_FY26!$C$17</f>
        <v>-994011.35</v>
      </c>
      <c r="H13" s="73" t="n">
        <f aca="false">F13-G13</f>
        <v>-941.140817296575</v>
      </c>
      <c r="I13" s="75" t="n">
        <f aca="false">IF(G13=0,0,H13/ABS(G13))</f>
        <v>-0.000946810936612117</v>
      </c>
      <c r="J13" s="46" t="str">
        <f aca="false">"Vendor B kept USD "&amp;TEXT((Assumptions!$C$150),"0.00")&amp;" per million tokens; the budget assumed USD "&amp;TEXT((Budget_FY26!$L$69),"0.00")&amp;" from April."</f>
        <v>Vendor B kept USD 2.00 per million tokens; the budget assumed USD 1.60 from April.</v>
      </c>
    </row>
    <row r="14" customFormat="false" ht="15" hidden="false" customHeight="false" outlineLevel="0" collapsed="false">
      <c r="A14" s="28" t="s">
        <v>565</v>
      </c>
      <c r="B14" s="65" t="n">
        <f aca="false">SUMIFS(PL!$E$20:$AB$20,Assumptions!$E$205:$AB$205,"A")</f>
        <v>-71431.42</v>
      </c>
      <c r="C14" s="65" t="n">
        <f aca="false">SUMIFS(Budget_FY26!$E$18:$P$18,Assumptions!$E$204:$P$204,"&lt;="&amp;Assumptions!$C$10)</f>
        <v>-73142.34</v>
      </c>
      <c r="D14" s="73" t="n">
        <f aca="false">B14-C14</f>
        <v>1710.92</v>
      </c>
      <c r="E14" s="75" t="n">
        <f aca="false">IF(C14=0,0,D14/ABS(C14))</f>
        <v>0.0233916497612737</v>
      </c>
      <c r="F14" s="65" t="n">
        <f aca="false">PL!$C$20</f>
        <v>-113203.523703303</v>
      </c>
      <c r="G14" s="65" t="n">
        <f aca="false">Budget_FY26!$C$18</f>
        <v>-117525.03</v>
      </c>
      <c r="H14" s="73" t="n">
        <f aca="false">F14-G14</f>
        <v>4321.50629669694</v>
      </c>
      <c r="I14" s="75" t="n">
        <f aca="false">IF(G14=0,0,H14/ABS(G14))</f>
        <v>0.036770943999733</v>
      </c>
    </row>
    <row r="15" customFormat="false" ht="15" hidden="false" customHeight="false" outlineLevel="0" collapsed="false">
      <c r="A15" s="28" t="s">
        <v>412</v>
      </c>
      <c r="B15" s="65" t="n">
        <f aca="false">SUMIFS(PL!$E$21:$AB$21,Assumptions!$E$205:$AB$205,"A")</f>
        <v>-220931.694016119</v>
      </c>
      <c r="C15" s="65" t="n">
        <f aca="false">SUMIFS(Budget_FY26!$E$19:$P$19,Assumptions!$E$204:$P$204,"&lt;="&amp;Assumptions!$C$10)</f>
        <v>-233019.43</v>
      </c>
      <c r="D15" s="73" t="n">
        <f aca="false">B15-C15</f>
        <v>12087.7359838805</v>
      </c>
      <c r="E15" s="75" t="n">
        <f aca="false">IF(C15=0,0,D15/ABS(C15))</f>
        <v>0.0518743693771825</v>
      </c>
      <c r="F15" s="65" t="n">
        <f aca="false">PL!$C$21</f>
        <v>-339924.141514432</v>
      </c>
      <c r="G15" s="65" t="n">
        <f aca="false">Budget_FY26!$C$19</f>
        <v>-360288.85</v>
      </c>
      <c r="H15" s="73" t="n">
        <f aca="false">F15-G15</f>
        <v>20364.7084855685</v>
      </c>
      <c r="I15" s="75" t="n">
        <f aca="false">IF(G15=0,0,H15/ABS(G15))</f>
        <v>0.0565232825983054</v>
      </c>
    </row>
    <row r="16" customFormat="false" ht="15" hidden="false" customHeight="false" outlineLevel="0" collapsed="false">
      <c r="A16" s="28" t="s">
        <v>566</v>
      </c>
      <c r="B16" s="65" t="n">
        <f aca="false">SUMIFS(PL!$E$22:$AB$22,Assumptions!$E$205:$AB$205,"A")</f>
        <v>-97903.9075304063</v>
      </c>
      <c r="C16" s="65" t="n">
        <f aca="false">SUMIFS(Budget_FY26!$E$22:$P$22,Assumptions!$E$204:$P$204,"&lt;="&amp;Assumptions!$C$10)</f>
        <v>0</v>
      </c>
      <c r="D16" s="73" t="n">
        <f aca="false">B16-C16</f>
        <v>-97903.9075304063</v>
      </c>
      <c r="E16" s="75" t="n">
        <f aca="false">IF(C16=0,0,D16/ABS(C16))</f>
        <v>0</v>
      </c>
      <c r="F16" s="65" t="n">
        <f aca="false">PL!$C$22</f>
        <v>-99021.9466393482</v>
      </c>
      <c r="G16" s="65" t="n">
        <f aca="false">Budget_FY26!$C$22</f>
        <v>0</v>
      </c>
      <c r="H16" s="73" t="n">
        <f aca="false">F16-G16</f>
        <v>-99021.9466393482</v>
      </c>
      <c r="I16" s="75" t="n">
        <f aca="false">IF(G16=0,0,H16/ABS(G16))</f>
        <v>0</v>
      </c>
      <c r="J16" s="46" t="str">
        <f aca="false">"Expected shortfall on the 2026 Provider A commitment (IAS 37)."</f>
        <v>Expected shortfall on the 2026 Provider A commitment (IAS 37).</v>
      </c>
    </row>
    <row r="17" customFormat="false" ht="15" hidden="false" customHeight="false" outlineLevel="0" collapsed="false">
      <c r="A17" s="28" t="s">
        <v>414</v>
      </c>
      <c r="B17" s="65" t="n">
        <f aca="false">SUMIFS(PL!$E$23:$AB$23,Assumptions!$E$205:$AB$205,"A")</f>
        <v>-48912.86</v>
      </c>
      <c r="C17" s="65" t="n">
        <f aca="false">SUMIFS(Budget_FY26!$E$20:$P$20,Assumptions!$E$204:$P$204,"&lt;="&amp;Assumptions!$C$10)</f>
        <v>-49058.45</v>
      </c>
      <c r="D17" s="73" t="n">
        <f aca="false">B17-C17</f>
        <v>145.589999999997</v>
      </c>
      <c r="E17" s="75" t="n">
        <f aca="false">IF(C17=0,0,D17/ABS(C17))</f>
        <v>0.00296768446618262</v>
      </c>
      <c r="F17" s="65" t="n">
        <f aca="false">PL!$C$23</f>
        <v>-76850.2156900694</v>
      </c>
      <c r="G17" s="65" t="n">
        <f aca="false">Budget_FY26!$C$20</f>
        <v>-77911.92</v>
      </c>
      <c r="H17" s="73" t="n">
        <f aca="false">F17-G17</f>
        <v>1061.70430993059</v>
      </c>
      <c r="I17" s="75" t="n">
        <f aca="false">IF(G17=0,0,H17/ABS(G17))</f>
        <v>0.0136269817241134</v>
      </c>
    </row>
    <row r="18" customFormat="false" ht="15" hidden="false" customHeight="false" outlineLevel="0" collapsed="false">
      <c r="A18" s="28" t="s">
        <v>567</v>
      </c>
      <c r="B18" s="65" t="n">
        <f aca="false">SUMIFS(PL!$E$24:$AB$24,Assumptions!$E$205:$AB$205,"A")</f>
        <v>-569216.647617488</v>
      </c>
      <c r="C18" s="65" t="n">
        <f aca="false">SUMIFS(Budget_FY26!$E$21:$P$21,Assumptions!$E$204:$P$204,"&lt;="&amp;Assumptions!$C$10)</f>
        <v>-567781.04</v>
      </c>
      <c r="D18" s="73" t="n">
        <f aca="false">B18-C18</f>
        <v>-1435.60761748778</v>
      </c>
      <c r="E18" s="75" t="n">
        <f aca="false">IF(C18=0,0,D18/ABS(C18))</f>
        <v>-0.0025284529005896</v>
      </c>
      <c r="F18" s="65" t="n">
        <f aca="false">PL!$C$24</f>
        <v>-907248.01493052</v>
      </c>
      <c r="G18" s="65" t="n">
        <f aca="false">Budget_FY26!$C$21</f>
        <v>-919241.72</v>
      </c>
      <c r="H18" s="73" t="n">
        <f aca="false">F18-G18</f>
        <v>11993.7050694802</v>
      </c>
      <c r="I18" s="75" t="n">
        <f aca="false">IF(G18=0,0,H18/ABS(G18))</f>
        <v>0.0130473898306968</v>
      </c>
    </row>
    <row r="19" customFormat="false" ht="15" hidden="false" customHeight="false" outlineLevel="0" collapsed="false">
      <c r="A19" s="76" t="s">
        <v>416</v>
      </c>
      <c r="B19" s="61" t="n">
        <f aca="false">SUMIFS(PL!$E$25:$AB$25,Assumptions!$E$205:$AB$205,"A")</f>
        <v>-1816579.87963604</v>
      </c>
      <c r="C19" s="61" t="n">
        <f aca="false">SUMIFS(Budget_FY26!$E$23:$P$23,Assumptions!$E$204:$P$204,"&lt;="&amp;Assumptions!$C$10)</f>
        <v>-1704091.57</v>
      </c>
      <c r="D19" s="60" t="n">
        <f aca="false">B19-C19</f>
        <v>-112488.309636038</v>
      </c>
      <c r="E19" s="77" t="n">
        <f aca="false">IF(C19=0,0,D19/ABS(C19))</f>
        <v>-0.066010718916964</v>
      </c>
      <c r="F19" s="61" t="n">
        <f aca="false">PL!$C$25</f>
        <v>-2743165.2480513</v>
      </c>
      <c r="G19" s="61" t="n">
        <f aca="false">Budget_FY26!$C$23</f>
        <v>-2688451.73</v>
      </c>
      <c r="H19" s="60" t="n">
        <f aca="false">F19-G19</f>
        <v>-54713.5180512969</v>
      </c>
      <c r="I19" s="77" t="n">
        <f aca="false">IF(G19=0,0,H19/ABS(G19))</f>
        <v>-0.020351311292205</v>
      </c>
      <c r="J19" s="79"/>
    </row>
    <row r="20" customFormat="false" ht="15" hidden="false" customHeight="false" outlineLevel="0" collapsed="false">
      <c r="A20" s="76" t="s">
        <v>417</v>
      </c>
      <c r="B20" s="61" t="n">
        <f aca="false">SUMIFS(PL!$E$26:$AB$26,Assumptions!$E$205:$AB$205,"A")</f>
        <v>2389772.52945487</v>
      </c>
      <c r="C20" s="61" t="n">
        <f aca="false">SUMIFS(Budget_FY26!$E$24:$P$24,Assumptions!$E$204:$P$204,"&lt;="&amp;Assumptions!$C$10)</f>
        <v>2611421.55</v>
      </c>
      <c r="D20" s="60" t="n">
        <f aca="false">B20-C20</f>
        <v>-221649.020545128</v>
      </c>
      <c r="E20" s="77" t="n">
        <f aca="false">IF(C20=0,0,D20/ABS(C20))</f>
        <v>-0.08487676780684</v>
      </c>
      <c r="F20" s="61" t="n">
        <f aca="false">PL!$C$26</f>
        <v>3872062.89684337</v>
      </c>
      <c r="G20" s="61" t="n">
        <f aca="false">Budget_FY26!$C$24</f>
        <v>4186541.71</v>
      </c>
      <c r="H20" s="60" t="n">
        <f aca="false">F20-G20</f>
        <v>-314478.813156625</v>
      </c>
      <c r="I20" s="77" t="n">
        <f aca="false">IF(G20=0,0,H20/ABS(G20))</f>
        <v>-0.0751166081554757</v>
      </c>
      <c r="J20" s="79"/>
    </row>
    <row r="21" customFormat="false" ht="15" hidden="false" customHeight="false" outlineLevel="0" collapsed="false">
      <c r="A21" s="76" t="s">
        <v>368</v>
      </c>
      <c r="B21" s="77" t="n">
        <f aca="false">IF(B10=0,0,B20/B10)</f>
        <v>0.568134168761042</v>
      </c>
      <c r="C21" s="77" t="n">
        <f aca="false">IF(C10=0,0,C20/C10)</f>
        <v>0.605124229120638</v>
      </c>
      <c r="D21" s="77" t="n">
        <f aca="false">B21-C21</f>
        <v>-0.0369900603595958</v>
      </c>
      <c r="E21" s="79"/>
      <c r="F21" s="77" t="n">
        <f aca="false">IF(F10=0,0,F20/F10)</f>
        <v>0.585325677668676</v>
      </c>
      <c r="G21" s="77" t="n">
        <f aca="false">IF(G10=0,0,G20/G10)</f>
        <v>0.60895210250557</v>
      </c>
      <c r="H21" s="77" t="n">
        <f aca="false">F21-G21</f>
        <v>-0.0236264248368934</v>
      </c>
      <c r="I21" s="79"/>
      <c r="J21" s="79"/>
    </row>
    <row r="22" customFormat="false" ht="15" hidden="false" customHeight="false" outlineLevel="0" collapsed="false">
      <c r="A22" s="28" t="s">
        <v>421</v>
      </c>
      <c r="B22" s="65" t="n">
        <f aca="false">SUMIFS(PL!$E$29:$AB$29,Assumptions!$E$205:$AB$205,"A")</f>
        <v>-3296596.49479695</v>
      </c>
      <c r="C22" s="65" t="n">
        <f aca="false">SUMIFS(Budget_FY26!$E$26:$P$26,Assumptions!$E$204:$P$204,"&lt;="&amp;Assumptions!$C$10)</f>
        <v>-3392845.16</v>
      </c>
      <c r="D22" s="73" t="n">
        <f aca="false">B22-C22</f>
        <v>96248.6652030544</v>
      </c>
      <c r="E22" s="75" t="n">
        <f aca="false">IF(C22=0,0,D22/ABS(C22))</f>
        <v>0.0283681278290502</v>
      </c>
      <c r="F22" s="65" t="n">
        <f aca="false">PL!$C$29</f>
        <v>-5060205.16134665</v>
      </c>
      <c r="G22" s="65" t="n">
        <f aca="false">Budget_FY26!$C$26</f>
        <v>-5343359.94</v>
      </c>
      <c r="H22" s="73" t="n">
        <f aca="false">F22-G22</f>
        <v>283154.778653347</v>
      </c>
      <c r="I22" s="75" t="n">
        <f aca="false">IF(G22=0,0,H22/ABS(G22))</f>
        <v>0.0529918968276255</v>
      </c>
      <c r="J22" s="46" t="str">
        <f aca="false">"Hiring behind plan; a software engineer and a machine learning engineer left."</f>
        <v>Hiring behind plan; a software engineer and a machine learning engineer left.</v>
      </c>
    </row>
    <row r="23" customFormat="false" ht="15" hidden="false" customHeight="false" outlineLevel="0" collapsed="false">
      <c r="A23" s="28" t="s">
        <v>568</v>
      </c>
      <c r="B23" s="65" t="n">
        <f aca="false">SUMIFS(PL!$E$30:$AB$30,Assumptions!$E$205:$AB$205,"A")</f>
        <v>-20270.391269975</v>
      </c>
      <c r="C23" s="65" t="n">
        <f aca="false">SUMIFS(Budget_FY26!$E$27:$P$27,Assumptions!$E$204:$P$204,"&lt;="&amp;Assumptions!$C$10)</f>
        <v>-23523.11</v>
      </c>
      <c r="D23" s="73" t="n">
        <f aca="false">B23-C23</f>
        <v>3252.71873002499</v>
      </c>
      <c r="E23" s="75" t="n">
        <f aca="false">IF(C23=0,0,D23/ABS(C23))</f>
        <v>0.138277580218984</v>
      </c>
      <c r="F23" s="65" t="n">
        <f aca="false">PL!$C$30</f>
        <v>-24261.8553575103</v>
      </c>
      <c r="G23" s="65" t="n">
        <f aca="false">Budget_FY26!$C$27</f>
        <v>-28992.6</v>
      </c>
      <c r="H23" s="73" t="n">
        <f aca="false">F23-G23</f>
        <v>4730.74464248972</v>
      </c>
      <c r="I23" s="75" t="n">
        <f aca="false">IF(G23=0,0,H23/ABS(G23))</f>
        <v>0.163170762280365</v>
      </c>
    </row>
    <row r="24" customFormat="false" ht="15" hidden="false" customHeight="false" outlineLevel="0" collapsed="false">
      <c r="A24" s="28" t="s">
        <v>423</v>
      </c>
      <c r="B24" s="65" t="n">
        <f aca="false">SUMIFS(PL!$E$31:$AB$31,Assumptions!$E$205:$AB$205,"A")</f>
        <v>-1152421.47621355</v>
      </c>
      <c r="C24" s="65" t="n">
        <f aca="false">SUMIFS(Budget_FY26!$E$28:$P$28,Assumptions!$E$204:$P$204,"&lt;="&amp;Assumptions!$C$10)</f>
        <v>-1185220.16</v>
      </c>
      <c r="D24" s="73" t="n">
        <f aca="false">B24-C24</f>
        <v>32798.6837864525</v>
      </c>
      <c r="E24" s="75" t="n">
        <f aca="false">IF(C24=0,0,D24/ABS(C24))</f>
        <v>0.0276730728124406</v>
      </c>
      <c r="F24" s="65" t="n">
        <f aca="false">PL!$C$31</f>
        <v>-1761339.74141565</v>
      </c>
      <c r="G24" s="65" t="n">
        <f aca="false">Budget_FY26!$C$28</f>
        <v>-1857912.09</v>
      </c>
      <c r="H24" s="73" t="n">
        <f aca="false">F24-G24</f>
        <v>96572.348584346</v>
      </c>
      <c r="I24" s="75" t="n">
        <f aca="false">IF(G24=0,0,H24/ABS(G24))</f>
        <v>0.0519789655840745</v>
      </c>
    </row>
    <row r="25" customFormat="false" ht="15" hidden="false" customHeight="false" outlineLevel="0" collapsed="false">
      <c r="A25" s="28" t="s">
        <v>424</v>
      </c>
      <c r="B25" s="65" t="n">
        <f aca="false">SUMIFS(PL!$E$32:$AB$32,Assumptions!$E$205:$AB$205,"A")</f>
        <v>-308250.13</v>
      </c>
      <c r="C25" s="65" t="n">
        <f aca="false">SUMIFS(Budget_FY26!$E$29:$P$29,Assumptions!$E$204:$P$204,"&lt;="&amp;Assumptions!$C$10)</f>
        <v>-286200</v>
      </c>
      <c r="D25" s="73" t="n">
        <f aca="false">B25-C25</f>
        <v>-22050.13</v>
      </c>
      <c r="E25" s="75" t="n">
        <f aca="false">IF(C25=0,0,D25/ABS(C25))</f>
        <v>-0.0770444793850454</v>
      </c>
      <c r="F25" s="65" t="n">
        <f aca="false">PL!$C$32</f>
        <v>-465950.13</v>
      </c>
      <c r="G25" s="65" t="n">
        <f aca="false">Budget_FY26!$C$29</f>
        <v>-435600</v>
      </c>
      <c r="H25" s="73" t="n">
        <f aca="false">F25-G25</f>
        <v>-30350.13</v>
      </c>
      <c r="I25" s="75" t="n">
        <f aca="false">IF(G25=0,0,H25/ABS(G25))</f>
        <v>-0.0696743112947659</v>
      </c>
      <c r="J25" s="46" t="str">
        <f aca="false">"March campaign above the budget run-rate."</f>
        <v>March campaign above the budget run-rate.</v>
      </c>
    </row>
    <row r="26" customFormat="false" ht="15" hidden="false" customHeight="false" outlineLevel="0" collapsed="false">
      <c r="A26" s="28" t="s">
        <v>425</v>
      </c>
      <c r="B26" s="65" t="n">
        <f aca="false">SUMIFS(PL!$E$33:$AB$33,Assumptions!$E$205:$AB$205,"A")</f>
        <v>-132088.2</v>
      </c>
      <c r="C26" s="65" t="n">
        <f aca="false">SUMIFS(Budget_FY26!$E$30:$P$30,Assumptions!$E$204:$P$204,"&lt;="&amp;Assumptions!$C$10)</f>
        <v>-133000</v>
      </c>
      <c r="D26" s="73" t="n">
        <f aca="false">B26-C26</f>
        <v>911.799999999988</v>
      </c>
      <c r="E26" s="75" t="n">
        <f aca="false">IF(C26=0,0,D26/ABS(C26))</f>
        <v>0.00685563909774427</v>
      </c>
      <c r="F26" s="65" t="n">
        <f aca="false">PL!$C$33</f>
        <v>-188088.2</v>
      </c>
      <c r="G26" s="65" t="n">
        <f aca="false">Budget_FY26!$C$30</f>
        <v>-189000</v>
      </c>
      <c r="H26" s="73" t="n">
        <f aca="false">F26-G26</f>
        <v>911.799999999988</v>
      </c>
      <c r="I26" s="75" t="n">
        <f aca="false">IF(G26=0,0,H26/ABS(G26))</f>
        <v>0.00482433862433856</v>
      </c>
    </row>
    <row r="27" customFormat="false" ht="15" hidden="false" customHeight="false" outlineLevel="0" collapsed="false">
      <c r="A27" s="28" t="s">
        <v>426</v>
      </c>
      <c r="B27" s="65" t="n">
        <f aca="false">SUMIFS(PL!$E$34:$AB$34,Assumptions!$E$205:$AB$205,"A")</f>
        <v>-538797.443832779</v>
      </c>
      <c r="C27" s="65" t="n">
        <f aca="false">SUMIFS(Budget_FY26!$E$31:$P$31,Assumptions!$E$204:$P$204,"&lt;="&amp;Assumptions!$C$10)</f>
        <v>-535194.47</v>
      </c>
      <c r="D27" s="73" t="n">
        <f aca="false">B27-C27</f>
        <v>-3602.97383277898</v>
      </c>
      <c r="E27" s="75" t="n">
        <f aca="false">IF(C27=0,0,D27/ABS(C27))</f>
        <v>-0.00673208344768395</v>
      </c>
      <c r="F27" s="65" t="n">
        <f aca="false">PL!$C$34</f>
        <v>-829619.255775392</v>
      </c>
      <c r="G27" s="65" t="n">
        <f aca="false">Budget_FY26!$C$31</f>
        <v>-828749.55</v>
      </c>
      <c r="H27" s="73" t="n">
        <f aca="false">F27-G27</f>
        <v>-869.705775391893</v>
      </c>
      <c r="I27" s="75" t="n">
        <f aca="false">IF(G27=0,0,H27/ABS(G27))</f>
        <v>-0.00104941930332498</v>
      </c>
    </row>
    <row r="28" customFormat="false" ht="15" hidden="false" customHeight="false" outlineLevel="0" collapsed="false">
      <c r="A28" s="28" t="s">
        <v>427</v>
      </c>
      <c r="B28" s="65" t="n">
        <f aca="false">SUMIFS(PL!$E$35:$AB$35,Assumptions!$E$205:$AB$205,"A")</f>
        <v>-147029.89</v>
      </c>
      <c r="C28" s="65" t="n">
        <f aca="false">SUMIFS(Budget_FY26!$E$32:$P$32,Assumptions!$E$204:$P$204,"&lt;="&amp;Assumptions!$C$10)</f>
        <v>-149760</v>
      </c>
      <c r="D28" s="73" t="n">
        <f aca="false">B28-C28</f>
        <v>2730.10999999999</v>
      </c>
      <c r="E28" s="75" t="n">
        <f aca="false">IF(C28=0,0,D28/ABS(C28))</f>
        <v>0.0182299011752136</v>
      </c>
      <c r="F28" s="65" t="n">
        <f aca="false">PL!$C$35</f>
        <v>-221519.083764383</v>
      </c>
      <c r="G28" s="65" t="n">
        <f aca="false">Budget_FY26!$C$32</f>
        <v>-231600</v>
      </c>
      <c r="H28" s="73" t="n">
        <f aca="false">F28-G28</f>
        <v>10080.9162356171</v>
      </c>
      <c r="I28" s="75" t="n">
        <f aca="false">IF(G28=0,0,H28/ABS(G28))</f>
        <v>0.0435272721745126</v>
      </c>
    </row>
    <row r="29" customFormat="false" ht="15" hidden="false" customHeight="false" outlineLevel="0" collapsed="false">
      <c r="A29" s="28" t="s">
        <v>569</v>
      </c>
      <c r="B29" s="65" t="n">
        <f aca="false">SUMIFS(PL!$E$36:$AB$36,Assumptions!$E$205:$AB$205,"A")</f>
        <v>-272000</v>
      </c>
      <c r="C29" s="65" t="n">
        <f aca="false">SUMIFS(Budget_FY26!$E$33:$P$33,Assumptions!$E$204:$P$204,"&lt;="&amp;Assumptions!$C$10)</f>
        <v>-272000</v>
      </c>
      <c r="D29" s="73" t="n">
        <f aca="false">B29-C29</f>
        <v>0</v>
      </c>
      <c r="E29" s="75" t="n">
        <f aca="false">IF(C29=0,0,D29/ABS(C29))</f>
        <v>0</v>
      </c>
      <c r="F29" s="65" t="n">
        <f aca="false">PL!$C$36</f>
        <v>-408000</v>
      </c>
      <c r="G29" s="65" t="n">
        <f aca="false">Budget_FY26!$C$33</f>
        <v>-408000</v>
      </c>
      <c r="H29" s="73" t="n">
        <f aca="false">F29-G29</f>
        <v>0</v>
      </c>
      <c r="I29" s="75" t="n">
        <f aca="false">IF(G29=0,0,H29/ABS(G29))</f>
        <v>0</v>
      </c>
    </row>
    <row r="30" customFormat="false" ht="15" hidden="false" customHeight="false" outlineLevel="0" collapsed="false">
      <c r="A30" s="28" t="s">
        <v>570</v>
      </c>
      <c r="B30" s="65" t="n">
        <f aca="false">SUMIFS(PL!$E$37:$AB$37,Assumptions!$E$205:$AB$205,"A")</f>
        <v>-148765.78</v>
      </c>
      <c r="C30" s="65" t="n">
        <f aca="false">SUMIFS(Budget_FY26!$E$34:$P$34,Assumptions!$E$204:$P$204,"&lt;="&amp;Assumptions!$C$10)</f>
        <v>-147200</v>
      </c>
      <c r="D30" s="73" t="n">
        <f aca="false">B30-C30</f>
        <v>-1565.78</v>
      </c>
      <c r="E30" s="75" t="n">
        <f aca="false">IF(C30=0,0,D30/ABS(C30))</f>
        <v>-0.0106370923913043</v>
      </c>
      <c r="F30" s="65" t="n">
        <f aca="false">PL!$C$37</f>
        <v>-212765.78</v>
      </c>
      <c r="G30" s="65" t="n">
        <f aca="false">Budget_FY26!$C$34</f>
        <v>-211200</v>
      </c>
      <c r="H30" s="73" t="n">
        <f aca="false">F30-G30</f>
        <v>-1565.78</v>
      </c>
      <c r="I30" s="75" t="n">
        <f aca="false">IF(G30=0,0,H30/ABS(G30))</f>
        <v>-0.00741373106060606</v>
      </c>
    </row>
    <row r="31" customFormat="false" ht="15" hidden="false" customHeight="false" outlineLevel="0" collapsed="false">
      <c r="A31" s="28" t="s">
        <v>430</v>
      </c>
      <c r="B31" s="65" t="n">
        <f aca="false">SUMIFS(PL!$E$38:$AB$38,Assumptions!$E$205:$AB$205,"A")</f>
        <v>-36000</v>
      </c>
      <c r="C31" s="65" t="n">
        <f aca="false">SUMIFS(Budget_FY26!$E$35:$P$35,Assumptions!$E$204:$P$204,"&lt;="&amp;Assumptions!$C$10)</f>
        <v>-36000</v>
      </c>
      <c r="D31" s="73" t="n">
        <f aca="false">B31-C31</f>
        <v>0</v>
      </c>
      <c r="E31" s="75" t="n">
        <f aca="false">IF(C31=0,0,D31/ABS(C31))</f>
        <v>0</v>
      </c>
      <c r="F31" s="65" t="n">
        <f aca="false">PL!$C$38</f>
        <v>-54000</v>
      </c>
      <c r="G31" s="65" t="n">
        <f aca="false">Budget_FY26!$C$35</f>
        <v>-54000</v>
      </c>
      <c r="H31" s="73" t="n">
        <f aca="false">F31-G31</f>
        <v>0</v>
      </c>
      <c r="I31" s="75" t="n">
        <f aca="false">IF(G31=0,0,H31/ABS(G31))</f>
        <v>0</v>
      </c>
    </row>
    <row r="32" customFormat="false" ht="15" hidden="false" customHeight="false" outlineLevel="0" collapsed="false">
      <c r="A32" s="28" t="s">
        <v>431</v>
      </c>
      <c r="B32" s="65" t="n">
        <f aca="false">SUMIFS(PL!$E$39:$AB$39,Assumptions!$E$205:$AB$205,"A")</f>
        <v>-80507.55</v>
      </c>
      <c r="C32" s="65" t="n">
        <f aca="false">SUMIFS(Budget_FY26!$E$36:$P$36,Assumptions!$E$204:$P$204,"&lt;="&amp;Assumptions!$C$10)</f>
        <v>-105500</v>
      </c>
      <c r="D32" s="73" t="n">
        <f aca="false">B32-C32</f>
        <v>24992.45</v>
      </c>
      <c r="E32" s="75" t="n">
        <f aca="false">IF(C32=0,0,D32/ABS(C32))</f>
        <v>0.236895260663507</v>
      </c>
      <c r="F32" s="65" t="n">
        <f aca="false">PL!$C$39</f>
        <v>-118987.695833333</v>
      </c>
      <c r="G32" s="65" t="n">
        <f aca="false">Budget_FY26!$C$36</f>
        <v>-132000</v>
      </c>
      <c r="H32" s="73" t="n">
        <f aca="false">F32-G32</f>
        <v>13012.3041666667</v>
      </c>
      <c r="I32" s="75" t="n">
        <f aca="false">IF(G32=0,0,H32/ABS(G32))</f>
        <v>0.0985780618686869</v>
      </c>
      <c r="J32" s="46" t="str">
        <f aca="false">TEXT((SUMIFS(People!$E$39:$AB$39,Assumptions!$E$205:$AB$205,"A")),"0")&amp;" hires against "&amp;TEXT((SUMIFS(Budget_FY26!$E$68:$P$68,Assumptions!$E$204:$P$204,"&lt;="&amp;Assumptions!$C$10)),"0")&amp;" budgeted year to date."</f>
        <v>10 hires against 13 budgeted year to date.</v>
      </c>
    </row>
    <row r="33" customFormat="false" ht="15" hidden="false" customHeight="false" outlineLevel="0" collapsed="false">
      <c r="A33" s="28" t="s">
        <v>432</v>
      </c>
      <c r="B33" s="65" t="n">
        <f aca="false">SUMIFS(PL!$E$40:$AB$40,Assumptions!$E$205:$AB$205,"A")</f>
        <v>-87584</v>
      </c>
      <c r="C33" s="65" t="n">
        <f aca="false">SUMIFS(Budget_FY26!$E$37:$P$37,Assumptions!$E$204:$P$204,"&lt;="&amp;Assumptions!$C$10)</f>
        <v>-88000</v>
      </c>
      <c r="D33" s="73" t="n">
        <f aca="false">B33-C33</f>
        <v>416</v>
      </c>
      <c r="E33" s="75" t="n">
        <f aca="false">IF(C33=0,0,D33/ABS(C33))</f>
        <v>0.00472727272727273</v>
      </c>
      <c r="F33" s="65" t="n">
        <f aca="false">PL!$C$40</f>
        <v>-131584</v>
      </c>
      <c r="G33" s="65" t="n">
        <f aca="false">Budget_FY26!$C$37</f>
        <v>-132000</v>
      </c>
      <c r="H33" s="73" t="n">
        <f aca="false">F33-G33</f>
        <v>416</v>
      </c>
      <c r="I33" s="75" t="n">
        <f aca="false">IF(G33=0,0,H33/ABS(G33))</f>
        <v>0.00315151515151515</v>
      </c>
    </row>
    <row r="34" customFormat="false" ht="15" hidden="false" customHeight="false" outlineLevel="0" collapsed="false">
      <c r="A34" s="28" t="s">
        <v>549</v>
      </c>
      <c r="B34" s="65" t="n">
        <f aca="false">SUMIFS(PL!$E$41:$AB$41,Assumptions!$E$205:$AB$205,"A")</f>
        <v>-11200</v>
      </c>
      <c r="C34" s="65" t="n">
        <f aca="false">SUMIFS(Budget_FY26!$E$38:$P$38,Assumptions!$E$204:$P$204,"&lt;="&amp;Assumptions!$C$10)</f>
        <v>-11200</v>
      </c>
      <c r="D34" s="73" t="n">
        <f aca="false">B34-C34</f>
        <v>0</v>
      </c>
      <c r="E34" s="75" t="n">
        <f aca="false">IF(C34=0,0,D34/ABS(C34))</f>
        <v>0</v>
      </c>
      <c r="F34" s="65" t="n">
        <f aca="false">PL!$C$41</f>
        <v>-16800</v>
      </c>
      <c r="G34" s="65" t="n">
        <f aca="false">Budget_FY26!$C$38</f>
        <v>-16800</v>
      </c>
      <c r="H34" s="73" t="n">
        <f aca="false">F34-G34</f>
        <v>0</v>
      </c>
      <c r="I34" s="75" t="n">
        <f aca="false">IF(G34=0,0,H34/ABS(G34))</f>
        <v>0</v>
      </c>
    </row>
    <row r="35" customFormat="false" ht="15" hidden="false" customHeight="false" outlineLevel="0" collapsed="false">
      <c r="A35" s="76" t="s">
        <v>434</v>
      </c>
      <c r="B35" s="61" t="n">
        <f aca="false">SUMIFS(PL!$E$42:$AB$42,Assumptions!$E$205:$AB$205,"A")</f>
        <v>-6231511.35611325</v>
      </c>
      <c r="C35" s="61" t="n">
        <f aca="false">SUMIFS(Budget_FY26!$E$39:$P$39,Assumptions!$E$204:$P$204,"&lt;="&amp;Assumptions!$C$10)</f>
        <v>-6365642.9</v>
      </c>
      <c r="D35" s="60" t="n">
        <f aca="false">B35-C35</f>
        <v>134131.543886753</v>
      </c>
      <c r="E35" s="77" t="n">
        <f aca="false">IF(C35=0,0,D35/ABS(C35))</f>
        <v>0.0210711700285218</v>
      </c>
      <c r="F35" s="61" t="n">
        <f aca="false">PL!$C$42</f>
        <v>-9493120.90349293</v>
      </c>
      <c r="G35" s="61" t="n">
        <f aca="false">Budget_FY26!$C$39</f>
        <v>-9869214.18</v>
      </c>
      <c r="H35" s="60" t="n">
        <f aca="false">F35-G35</f>
        <v>376093.276507074</v>
      </c>
      <c r="I35" s="77" t="n">
        <f aca="false">IF(G35=0,0,H35/ABS(G35))</f>
        <v>0.0381077226259035</v>
      </c>
      <c r="J35" s="79"/>
    </row>
    <row r="36" customFormat="false" ht="15" hidden="false" customHeight="false" outlineLevel="0" collapsed="false">
      <c r="A36" s="28" t="s">
        <v>571</v>
      </c>
      <c r="B36" s="65" t="n">
        <f aca="false">SUMIFS(PL!$E$43:$AB$43,Assumptions!$E$205:$AB$205,"A")</f>
        <v>758369.3376</v>
      </c>
      <c r="C36" s="65" t="n">
        <f aca="false">SUMIFS(Budget_FY26!$E$40:$P$40,Assumptions!$E$204:$P$204,"&lt;="&amp;Assumptions!$C$10)</f>
        <v>784236.99</v>
      </c>
      <c r="D36" s="73" t="n">
        <f aca="false">B36-C36</f>
        <v>-25867.6524</v>
      </c>
      <c r="E36" s="75" t="n">
        <f aca="false">IF(C36=0,0,D36/ABS(C36))</f>
        <v>-0.0329844839376934</v>
      </c>
      <c r="F36" s="65" t="n">
        <f aca="false">PL!$C$43</f>
        <v>1137599.27210099</v>
      </c>
      <c r="G36" s="65" t="n">
        <f aca="false">Budget_FY26!$C$40</f>
        <v>1209691.85</v>
      </c>
      <c r="H36" s="73" t="n">
        <f aca="false">F36-G36</f>
        <v>-72092.5778990104</v>
      </c>
      <c r="I36" s="75" t="n">
        <f aca="false">IF(G36=0,0,H36/ABS(G36))</f>
        <v>-0.0595958201247784</v>
      </c>
      <c r="J36" s="46" t="str">
        <f aca="false">"Lower research payroll than budgeted."</f>
        <v>Lower research payroll than budgeted.</v>
      </c>
    </row>
    <row r="37" customFormat="false" ht="15" hidden="false" customHeight="false" outlineLevel="0" collapsed="false">
      <c r="A37" s="76" t="s">
        <v>392</v>
      </c>
      <c r="B37" s="61" t="n">
        <f aca="false">SUMIFS(PL!$E$44:$AB$44,Assumptions!$E$205:$AB$205,"A")</f>
        <v>-3083369.48905838</v>
      </c>
      <c r="C37" s="61" t="n">
        <f aca="false">SUMIFS(Budget_FY26!$E$41:$P$41,Assumptions!$E$204:$P$204,"&lt;="&amp;Assumptions!$C$10)</f>
        <v>-2969984.36</v>
      </c>
      <c r="D37" s="60" t="n">
        <f aca="false">B37-C37</f>
        <v>-113385.129058375</v>
      </c>
      <c r="E37" s="77" t="n">
        <f aca="false">IF(C37=0,0,D37/ABS(C37))</f>
        <v>-0.0381770121706552</v>
      </c>
      <c r="F37" s="61" t="n">
        <f aca="false">PL!$C$44</f>
        <v>-4483458.73454856</v>
      </c>
      <c r="G37" s="61" t="n">
        <f aca="false">Budget_FY26!$C$41</f>
        <v>-4472980.62</v>
      </c>
      <c r="H37" s="60" t="n">
        <f aca="false">F37-G37</f>
        <v>-10478.1145485621</v>
      </c>
      <c r="I37" s="77" t="n">
        <f aca="false">IF(G37=0,0,H37/ABS(G37))</f>
        <v>-0.0023425351993951</v>
      </c>
      <c r="J37" s="78" t="str">
        <f aca="false">"EUR "&amp;TEXT(ABS(D37)/1000,"#,##0")&amp;"k "&amp;IF(D37&lt;0,"behind","ahead of")&amp;" budget YTD; EUR "&amp;TEXT(ABS(H37)/1000,"#,##0")&amp;"k "&amp;IF(H37&lt;0,"behind","ahead of")&amp;" on the full-year outlook."</f>
        <v>EUR 113k behind budget YTD; EUR 10k behind on the full-year outlook.</v>
      </c>
    </row>
    <row r="38" customFormat="false" ht="15" hidden="false" customHeight="false" outlineLevel="0" collapsed="false">
      <c r="A38" s="76" t="s">
        <v>436</v>
      </c>
      <c r="B38" s="77" t="n">
        <f aca="false">IF(B10=0,0,B37/B10)</f>
        <v>-0.733026905305056</v>
      </c>
      <c r="C38" s="77" t="n">
        <f aca="false">IF(C10=0,0,C37/C10)</f>
        <v>-0.68821117614862</v>
      </c>
      <c r="D38" s="77" t="n">
        <f aca="false">B38-C38</f>
        <v>-0.0448157291564361</v>
      </c>
      <c r="E38" s="79"/>
      <c r="F38" s="77" t="n">
        <f aca="false">IF(F10=0,0,F37/F10)</f>
        <v>-0.677748164741482</v>
      </c>
      <c r="G38" s="77" t="n">
        <f aca="false">IF(G10=0,0,G37/G10)</f>
        <v>-0.650615983715033</v>
      </c>
      <c r="H38" s="77" t="n">
        <f aca="false">F38-G38</f>
        <v>-0.0271321810264488</v>
      </c>
      <c r="I38" s="79"/>
      <c r="J38" s="79"/>
    </row>
    <row r="39" customFormat="false" ht="15" hidden="false" customHeight="false" outlineLevel="0" collapsed="false">
      <c r="A39" s="28" t="s">
        <v>439</v>
      </c>
      <c r="B39" s="65" t="n">
        <f aca="false">SUMIFS(PL!$E$48:$AB$48,Assumptions!$E$205:$AB$205,"A")</f>
        <v>-53079.9594444444</v>
      </c>
      <c r="C39" s="65" t="n">
        <f aca="false">SUMIFS(Budget_FY26!$E$42:$P$42,Assumptions!$E$204:$P$204,"&lt;="&amp;Assumptions!$C$10)</f>
        <v>-53344.44</v>
      </c>
      <c r="D39" s="73" t="n">
        <f aca="false">B39-C39</f>
        <v>264.480555555558</v>
      </c>
      <c r="E39" s="75" t="n">
        <f aca="false">IF(C39=0,0,D39/ABS(C39))</f>
        <v>0.00495797791776533</v>
      </c>
      <c r="F39" s="65" t="n">
        <f aca="false">PL!$C$48</f>
        <v>-82736.6538888889</v>
      </c>
      <c r="G39" s="65" t="n">
        <f aca="false">Budget_FY26!$C$42</f>
        <v>-83849.99</v>
      </c>
      <c r="H39" s="73" t="n">
        <f aca="false">F39-G39</f>
        <v>1113.3361111111</v>
      </c>
      <c r="I39" s="75" t="n">
        <f aca="false">IF(G39=0,0,H39/ABS(G39))</f>
        <v>0.0132777131054053</v>
      </c>
    </row>
    <row r="40" customFormat="false" ht="15" hidden="false" customHeight="false" outlineLevel="0" collapsed="false">
      <c r="A40" s="28" t="s">
        <v>441</v>
      </c>
      <c r="B40" s="65" t="n">
        <f aca="false">SUMIFS(PL!$E$50:$AB$50,Assumptions!$E$205:$AB$205,"A")</f>
        <v>128185.5</v>
      </c>
      <c r="C40" s="65" t="n">
        <f aca="false">SUMIFS(Budget_FY26!$E$43:$P$43,Assumptions!$E$204:$P$204,"&lt;="&amp;Assumptions!$C$10)</f>
        <v>128700.47</v>
      </c>
      <c r="D40" s="73" t="n">
        <f aca="false">B40-C40</f>
        <v>-514.970000000001</v>
      </c>
      <c r="E40" s="75" t="n">
        <f aca="false">IF(C40=0,0,D40/ABS(C40))</f>
        <v>-0.00400130628893586</v>
      </c>
      <c r="F40" s="65" t="n">
        <f aca="false">PL!$C$50</f>
        <v>180593.562540258</v>
      </c>
      <c r="G40" s="65" t="n">
        <f aca="false">Budget_FY26!$C$43</f>
        <v>181497</v>
      </c>
      <c r="H40" s="73" t="n">
        <f aca="false">F40-G40</f>
        <v>-903.437459742476</v>
      </c>
      <c r="I40" s="75" t="n">
        <f aca="false">IF(G40=0,0,H40/ABS(G40))</f>
        <v>-0.00497769913410401</v>
      </c>
    </row>
    <row r="41" customFormat="false" ht="15" hidden="false" customHeight="false" outlineLevel="0" collapsed="false">
      <c r="A41" s="28" t="s">
        <v>572</v>
      </c>
      <c r="B41" s="65" t="n">
        <f aca="false">SUMIFS(PL!$E$51:$AB$51,Assumptions!$E$205:$AB$205,"A")</f>
        <v>-1166.38932598376</v>
      </c>
      <c r="C41" s="65" t="n">
        <f aca="false">SUMIFS(Budget_FY26!$E$44:$P$44,Assumptions!$E$204:$P$204,"&lt;="&amp;Assumptions!$C$10)</f>
        <v>0</v>
      </c>
      <c r="D41" s="73" t="n">
        <f aca="false">B41-C41</f>
        <v>-1166.38932598376</v>
      </c>
      <c r="E41" s="75" t="n">
        <f aca="false">IF(C41=0,0,D41/ABS(C41))</f>
        <v>0</v>
      </c>
      <c r="F41" s="65" t="n">
        <f aca="false">PL!$C$51</f>
        <v>-2798.38577202175</v>
      </c>
      <c r="G41" s="65" t="n">
        <f aca="false">Budget_FY26!$C$44</f>
        <v>0</v>
      </c>
      <c r="H41" s="73" t="n">
        <f aca="false">F41-G41</f>
        <v>-2798.38577202175</v>
      </c>
      <c r="I41" s="75" t="n">
        <f aca="false">IF(G41=0,0,H41/ABS(G41))</f>
        <v>0</v>
      </c>
    </row>
    <row r="42" customFormat="false" ht="15" hidden="false" customHeight="false" outlineLevel="0" collapsed="false">
      <c r="A42" s="28" t="s">
        <v>444</v>
      </c>
      <c r="B42" s="65" t="n">
        <f aca="false">SUMIFS(PL!$E$53:$AB$53,Assumptions!$E$205:$AB$205,"A")</f>
        <v>0</v>
      </c>
      <c r="C42" s="65" t="n">
        <f aca="false">SUMIFS(Budget_FY26!$E$46:$P$46,Assumptions!$E$204:$P$204,"&lt;="&amp;Assumptions!$C$10)</f>
        <v>0</v>
      </c>
      <c r="D42" s="73" t="n">
        <f aca="false">B42-C42</f>
        <v>0</v>
      </c>
      <c r="E42" s="75" t="n">
        <f aca="false">IF(C42=0,0,D42/ABS(C42))</f>
        <v>0</v>
      </c>
      <c r="F42" s="65" t="n">
        <f aca="false">PL!$C$53</f>
        <v>0</v>
      </c>
      <c r="G42" s="65" t="n">
        <f aca="false">Budget_FY26!$C$46</f>
        <v>0</v>
      </c>
      <c r="H42" s="73" t="n">
        <f aca="false">F42-G42</f>
        <v>0</v>
      </c>
      <c r="I42" s="75" t="n">
        <f aca="false">IF(G42=0,0,H42/ABS(G42))</f>
        <v>0</v>
      </c>
    </row>
    <row r="43" customFormat="false" ht="15" hidden="false" customHeight="false" outlineLevel="0" collapsed="false">
      <c r="A43" s="76" t="s">
        <v>445</v>
      </c>
      <c r="B43" s="61" t="n">
        <f aca="false">SUMIFS(PL!$E$54:$AB$54,Assumptions!$E$205:$AB$205,"A")</f>
        <v>-3009430.3378288</v>
      </c>
      <c r="C43" s="61" t="n">
        <f aca="false">SUMIFS(Budget_FY26!$E$47:$P$47,Assumptions!$E$204:$P$204,"&lt;="&amp;Assumptions!$C$10)</f>
        <v>-2894628.33</v>
      </c>
      <c r="D43" s="60" t="n">
        <f aca="false">B43-C43</f>
        <v>-114802.007828804</v>
      </c>
      <c r="E43" s="77" t="n">
        <f aca="false">IF(C43=0,0,D43/ABS(C43))</f>
        <v>-0.0396603621401039</v>
      </c>
      <c r="F43" s="61" t="n">
        <f aca="false">PL!$C$54</f>
        <v>-4388400.21166922</v>
      </c>
      <c r="G43" s="61" t="n">
        <f aca="false">Budget_FY26!$C$47</f>
        <v>-4375333.61</v>
      </c>
      <c r="H43" s="60" t="n">
        <f aca="false">F43-G43</f>
        <v>-13066.6016692147</v>
      </c>
      <c r="I43" s="77" t="n">
        <f aca="false">IF(G43=0,0,H43/ABS(G43))</f>
        <v>-0.00298642408417736</v>
      </c>
      <c r="J43" s="79"/>
    </row>
    <row r="44" customFormat="false" ht="15" hidden="false" customHeight="false" outlineLevel="0" collapsed="false">
      <c r="A44" s="22" t="s">
        <v>573</v>
      </c>
      <c r="B44" s="23"/>
      <c r="C44" s="23"/>
      <c r="D44" s="23"/>
      <c r="E44" s="23"/>
      <c r="F44" s="23"/>
      <c r="G44" s="23"/>
      <c r="H44" s="23"/>
      <c r="I44" s="23"/>
      <c r="J44" s="23"/>
    </row>
    <row r="45" customFormat="false" ht="15" hidden="false" customHeight="false" outlineLevel="0" collapsed="false">
      <c r="A45" s="28" t="s">
        <v>356</v>
      </c>
      <c r="B45" s="68" t="n">
        <f aca="false">INDEX(Team!$E$11:$AB$11,Assumptions!$C$10)</f>
        <v>380</v>
      </c>
      <c r="C45" s="68" t="n">
        <f aca="false">INDEX(Budget_FY26!$E$52:$P$52,Assumptions!$C$10)</f>
        <v>409.1</v>
      </c>
      <c r="D45" s="80" t="n">
        <f aca="false">B45-C45</f>
        <v>-29.1</v>
      </c>
      <c r="E45" s="75" t="n">
        <f aca="false">IF(C45=0,0,D45/ABS(C45))</f>
        <v>-0.0711317526277194</v>
      </c>
      <c r="F45" s="68" t="n">
        <f aca="false">Team!$C$11</f>
        <v>404.959594755072</v>
      </c>
      <c r="G45" s="68" t="n">
        <f aca="false">Budget_FY26!$C$52</f>
        <v>447.1</v>
      </c>
      <c r="H45" s="80" t="n">
        <f aca="false">F45-G45</f>
        <v>-42.1404052449281</v>
      </c>
      <c r="I45" s="75" t="n">
        <f aca="false">IF(G45=0,0,H45/ABS(G45))</f>
        <v>-0.0942527516102172</v>
      </c>
    </row>
    <row r="46" customFormat="false" ht="15" hidden="false" customHeight="false" outlineLevel="0" collapsed="false">
      <c r="A46" s="28" t="s">
        <v>574</v>
      </c>
      <c r="B46" s="65" t="n">
        <f aca="false">SUMIFS(Credits!$E$9:$AB$9,Assumptions!$E$205:$AB$205,"A")</f>
        <v>706057</v>
      </c>
      <c r="C46" s="65" t="n">
        <f aca="false">SUMIFS(Budget_FY26!$E$49:$P$49,Assumptions!$E$204:$P$204,"&lt;="&amp;Assumptions!$C$10)</f>
        <v>681187.75</v>
      </c>
      <c r="D46" s="73" t="n">
        <f aca="false">B46-C46</f>
        <v>24869.25</v>
      </c>
      <c r="E46" s="75" t="n">
        <f aca="false">IF(C46=0,0,D46/ABS(C46))</f>
        <v>0.0365086571213296</v>
      </c>
      <c r="F46" s="65" t="n">
        <f aca="false">Credits!$C$9</f>
        <v>1151499.73641013</v>
      </c>
      <c r="G46" s="65" t="n">
        <f aca="false">Budget_FY26!$C$49</f>
        <v>1091501.88</v>
      </c>
      <c r="H46" s="73" t="n">
        <f aca="false">F46-G46</f>
        <v>59997.8564101292</v>
      </c>
      <c r="I46" s="75" t="n">
        <f aca="false">IF(G46=0,0,H46/ABS(G46))</f>
        <v>0.054968165890955</v>
      </c>
    </row>
    <row r="47" customFormat="false" ht="15" hidden="false" customHeight="false" outlineLevel="0" collapsed="false">
      <c r="A47" s="28" t="s">
        <v>575</v>
      </c>
      <c r="B47" s="68" t="n">
        <f aca="false">SUMIFS(Revenue!$E$25:$AB$25,Assumptions!$E$205:$AB$205,"A")</f>
        <v>179632.9</v>
      </c>
      <c r="C47" s="68" t="n">
        <f aca="false">SUMIFS(Budget_FY26!$E$60:$P$60,Assumptions!$E$204:$P$204,"&lt;="&amp;Assumptions!$C$10)</f>
        <v>182855.9</v>
      </c>
      <c r="D47" s="80" t="n">
        <f aca="false">B47-C47</f>
        <v>-3223</v>
      </c>
      <c r="E47" s="75" t="n">
        <f aca="false">IF(C47=0,0,D47/ABS(C47))</f>
        <v>-0.0176259010510462</v>
      </c>
      <c r="F47" s="68" t="n">
        <f aca="false">Revenue!$C$25</f>
        <v>284063.159258258</v>
      </c>
      <c r="G47" s="68" t="n">
        <f aca="false">Budget_FY26!$C$60</f>
        <v>293812.7</v>
      </c>
      <c r="H47" s="80" t="n">
        <f aca="false">F47-G47</f>
        <v>-9749.54074174241</v>
      </c>
      <c r="I47" s="75" t="n">
        <f aca="false">IF(G47=0,0,H47/ABS(G47))</f>
        <v>-0.0331828431573666</v>
      </c>
    </row>
    <row r="48" customFormat="false" ht="15" hidden="false" customHeight="false" outlineLevel="0" collapsed="false">
      <c r="A48" s="28" t="s">
        <v>576</v>
      </c>
      <c r="B48" s="68" t="n">
        <f aca="false">SUMIFS(Revenue!$E$26:$AB$26,Assumptions!$E$205:$AB$205,"A")</f>
        <v>162243</v>
      </c>
      <c r="C48" s="68" t="n">
        <f aca="false">SUMIFS(Budget_FY26!$E$61:$P$61,Assumptions!$E$204:$P$204,"&lt;="&amp;Assumptions!$C$10)</f>
        <v>165878.3</v>
      </c>
      <c r="D48" s="80" t="n">
        <f aca="false">B48-C48</f>
        <v>-3635.29999999999</v>
      </c>
      <c r="E48" s="75" t="n">
        <f aca="false">IF(C48=0,0,D48/ABS(C48))</f>
        <v>-0.0219154645303213</v>
      </c>
      <c r="F48" s="68" t="n">
        <f aca="false">Revenue!$C$26</f>
        <v>258582.555284401</v>
      </c>
      <c r="G48" s="68" t="n">
        <f aca="false">Budget_FY26!$C$61</f>
        <v>266022.8</v>
      </c>
      <c r="H48" s="80" t="n">
        <f aca="false">F48-G48</f>
        <v>-7440.24471559949</v>
      </c>
      <c r="I48" s="75" t="n">
        <f aca="false">IF(G48=0,0,H48/ABS(G48))</f>
        <v>-0.0279684474999868</v>
      </c>
    </row>
    <row r="49" customFormat="false" ht="15" hidden="false" customHeight="false" outlineLevel="0" collapsed="false">
      <c r="A49" s="28" t="s">
        <v>577</v>
      </c>
      <c r="B49" s="68" t="n">
        <f aca="false">SUMIFS(Revenue!$E$27:$AB$27,Assumptions!$E$205:$AB$205,"A")</f>
        <v>65211.4</v>
      </c>
      <c r="C49" s="68" t="n">
        <f aca="false">SUMIFS(Budget_FY26!$E$62:$P$62,Assumptions!$E$204:$P$204,"&lt;="&amp;Assumptions!$C$10)</f>
        <v>68522.7</v>
      </c>
      <c r="D49" s="80" t="n">
        <f aca="false">B49-C49</f>
        <v>-3311.3</v>
      </c>
      <c r="E49" s="75" t="n">
        <f aca="false">IF(C49=0,0,D49/ABS(C49))</f>
        <v>-0.0483241320029712</v>
      </c>
      <c r="F49" s="68" t="n">
        <f aca="false">Revenue!$C$27</f>
        <v>102867.030058248</v>
      </c>
      <c r="G49" s="68" t="n">
        <f aca="false">Budget_FY26!$C$62</f>
        <v>109776.5</v>
      </c>
      <c r="H49" s="80" t="n">
        <f aca="false">F49-G49</f>
        <v>-6909.46994175194</v>
      </c>
      <c r="I49" s="75" t="n">
        <f aca="false">IF(G49=0,0,H49/ABS(G49))</f>
        <v>-0.0629412482794764</v>
      </c>
    </row>
    <row r="50" customFormat="false" ht="15" hidden="false" customHeight="false" outlineLevel="0" collapsed="false">
      <c r="A50" s="28" t="s">
        <v>578</v>
      </c>
      <c r="B50" s="65" t="n">
        <f aca="false">SUMIFS(Usage_Compute!$E$18:$AB$18,Assumptions!$E$205:$AB$205,"A")</f>
        <v>66690.5674296</v>
      </c>
      <c r="C50" s="65" t="n">
        <f aca="false">SUMIFS(Budget_FY26!$E$63:$P$63,Assumptions!$E$204:$P$204,"&lt;="&amp;Assumptions!$C$10)</f>
        <v>65449.7</v>
      </c>
      <c r="D50" s="73" t="n">
        <f aca="false">B50-C50</f>
        <v>1240.86742960001</v>
      </c>
      <c r="E50" s="75" t="n">
        <f aca="false">IF(C50=0,0,D50/ABS(C50))</f>
        <v>0.0189591003411782</v>
      </c>
      <c r="F50" s="65" t="n">
        <f aca="false">Usage_Compute!$C$18</f>
        <v>104165.000617527</v>
      </c>
      <c r="G50" s="65" t="n">
        <f aca="false">Budget_FY26!$C$63</f>
        <v>102185.2</v>
      </c>
      <c r="H50" s="73" t="n">
        <f aca="false">F50-G50</f>
        <v>1979.80061752735</v>
      </c>
      <c r="I50" s="75" t="n">
        <f aca="false">IF(G50=0,0,H50/ABS(G50))</f>
        <v>0.0193746317228654</v>
      </c>
    </row>
    <row r="51" customFormat="false" ht="15" hidden="false" customHeight="false" outlineLevel="0" collapsed="false">
      <c r="A51" s="28" t="s">
        <v>384</v>
      </c>
      <c r="B51" s="65" t="n">
        <f aca="false">INDEX(BS!$E$9:$AB$9,Assumptions!$C$10)</f>
        <v>9337248.92233333</v>
      </c>
      <c r="C51" s="65" t="n">
        <f aca="false">INDEX(Budget_FY26!$E$65:$P$65,Assumptions!$C$10)</f>
        <v>9489918.24</v>
      </c>
      <c r="D51" s="73" t="n">
        <f aca="false">B51-C51</f>
        <v>-152669.317666668</v>
      </c>
      <c r="E51" s="75" t="n">
        <f aca="false">IF(C51=0,0,D51/ABS(C51))</f>
        <v>-0.0160875271847093</v>
      </c>
      <c r="F51" s="65" t="n">
        <f aca="false">BS!$C$9</f>
        <v>7793186.71369928</v>
      </c>
      <c r="G51" s="65" t="n">
        <f aca="false">Budget_FY26!$C$65</f>
        <v>7639284.93</v>
      </c>
      <c r="H51" s="73" t="n">
        <f aca="false">F51-G51</f>
        <v>153901.783699282</v>
      </c>
      <c r="I51" s="75" t="n">
        <f aca="false">IF(G51=0,0,H51/ABS(G51))</f>
        <v>0.0201460981112118</v>
      </c>
    </row>
    <row r="52" customFormat="false" ht="15" hidden="false" customHeight="false" outlineLevel="0" collapsed="false">
      <c r="A52" s="28" t="s">
        <v>395</v>
      </c>
      <c r="B52" s="68" t="n">
        <f aca="false">INDEX(People!$E$22:$AB$22,Assumptions!$C$10)</f>
        <v>77</v>
      </c>
      <c r="C52" s="68" t="n">
        <f aca="false">INDEX(Budget_FY26!$E$67:$P$67,Assumptions!$C$10)</f>
        <v>83</v>
      </c>
      <c r="D52" s="80" t="n">
        <f aca="false">B52-C52</f>
        <v>-6</v>
      </c>
      <c r="E52" s="75" t="n">
        <f aca="false">IF(C52=0,0,D52/ABS(C52))</f>
        <v>-0.072289156626506</v>
      </c>
      <c r="F52" s="68" t="n">
        <f aca="false">People!$C$22</f>
        <v>78.3720046872435</v>
      </c>
      <c r="G52" s="68" t="n">
        <f aca="false">Budget_FY26!$C$67</f>
        <v>86</v>
      </c>
      <c r="H52" s="80" t="n">
        <f aca="false">F52-G52</f>
        <v>-7.62799531275655</v>
      </c>
      <c r="I52" s="75" t="n">
        <f aca="false">IF(G52=0,0,H52/ABS(G52))</f>
        <v>-0.0886976199157739</v>
      </c>
    </row>
    <row r="54" customFormat="false" ht="15" hidden="false" customHeight="false" outlineLevel="0" collapsed="false">
      <c r="A54" s="22" t="s">
        <v>579</v>
      </c>
      <c r="B54" s="23"/>
      <c r="C54" s="23"/>
      <c r="D54" s="23"/>
      <c r="E54" s="23"/>
      <c r="F54" s="23"/>
      <c r="G54" s="23"/>
      <c r="H54" s="23"/>
      <c r="I54" s="23"/>
      <c r="J54" s="23"/>
    </row>
    <row r="55" customFormat="false" ht="30" hidden="false" customHeight="true" outlineLevel="0" collapsed="false">
      <c r="A55" s="42" t="s">
        <v>580</v>
      </c>
      <c r="B55" s="43" t="s">
        <v>554</v>
      </c>
      <c r="C55" s="43" t="s">
        <v>555</v>
      </c>
      <c r="D55" s="43" t="s">
        <v>581</v>
      </c>
      <c r="E55" s="43" t="s">
        <v>582</v>
      </c>
      <c r="F55" s="43" t="s">
        <v>558</v>
      </c>
      <c r="G55" s="43" t="s">
        <v>559</v>
      </c>
      <c r="H55" s="43" t="s">
        <v>583</v>
      </c>
      <c r="I55" s="43" t="s">
        <v>584</v>
      </c>
    </row>
    <row r="56" customFormat="false" ht="15" hidden="false" customHeight="false" outlineLevel="0" collapsed="false">
      <c r="A56" s="0" t="s">
        <v>585</v>
      </c>
      <c r="B56" s="29"/>
      <c r="C56" s="29"/>
      <c r="D56" s="29"/>
      <c r="E56" s="29" t="n">
        <f aca="false">SUMPRODUCT((Credits!$E$47:$P$47-Budget_FY26!$E$50:$P$50)*(1/(1-Assumptions!$C$119))*(Assumptions!$E$204:$P$204&lt;=Assumptions!$C$10))</f>
        <v>17055.375</v>
      </c>
      <c r="F56" s="29"/>
      <c r="G56" s="29"/>
      <c r="H56" s="29"/>
      <c r="I56" s="29" t="n">
        <f aca="false">SUMPRODUCT((Credits!$E$47:$P$47-Budget_FY26!$E$50:$P$50)*(1/(1-Assumptions!$C$119)))</f>
        <v>41788.3945266244</v>
      </c>
    </row>
    <row r="57" customFormat="false" ht="15" hidden="false" customHeight="false" outlineLevel="0" collapsed="false">
      <c r="A57" s="0" t="s">
        <v>586</v>
      </c>
      <c r="B57" s="29" t="n">
        <f aca="false">SUMPRODUCT(Credits!$E$50:$P$50*(Assumptions!$E$204:$P$204&lt;=Assumptions!$C$10))</f>
        <v>-4130.54409090908</v>
      </c>
      <c r="C57" s="29" t="n">
        <f aca="false">SUMPRODUCT(Budget_FY26!$E$51:$P$51*(Assumptions!$E$204:$P$204&lt;=Assumptions!$C$10))</f>
        <v>-3164.18818181816</v>
      </c>
      <c r="D57" s="29" t="n">
        <f aca="false">B57-C57</f>
        <v>-966.355909090924</v>
      </c>
      <c r="E57" s="29" t="n">
        <f aca="false">D57</f>
        <v>-966.355909090924</v>
      </c>
      <c r="F57" s="29" t="n">
        <f aca="false">SUMPRODUCT(Credits!$E$50:$P$50)</f>
        <v>-13933.4377386364</v>
      </c>
      <c r="G57" s="29" t="n">
        <f aca="false">SUMPRODUCT(Budget_FY26!$E$51:$P$51)</f>
        <v>-7304.79136363635</v>
      </c>
      <c r="H57" s="29" t="n">
        <f aca="false">F57-G57</f>
        <v>-6628.64637500002</v>
      </c>
      <c r="I57" s="29" t="n">
        <f aca="false">H57</f>
        <v>-6628.64637500002</v>
      </c>
    </row>
    <row r="58" customFormat="false" ht="15" hidden="false" customHeight="false" outlineLevel="0" collapsed="false">
      <c r="A58" s="0" t="s">
        <v>587</v>
      </c>
      <c r="B58" s="29"/>
      <c r="C58" s="29"/>
      <c r="D58" s="29"/>
      <c r="E58" s="29" t="n">
        <f aca="false">SUMPRODUCT((Team!$E$11:$P$11-Budget_FY26!$E$52:$P$52)*Budget_FY26!$E$56:$P$56*(Assumptions!$E$204:$P$204&lt;=Assumptions!$C$10))</f>
        <v>-45532.1270843498</v>
      </c>
      <c r="F58" s="29"/>
      <c r="G58" s="29"/>
      <c r="H58" s="29"/>
      <c r="I58" s="29" t="n">
        <f aca="false">SUMPRODUCT((Team!$E$11:$P$11-Budget_FY26!$E$52:$P$52)*Budget_FY26!$E$56:$P$56)</f>
        <v>-112944.170526305</v>
      </c>
    </row>
    <row r="59" customFormat="false" ht="15" hidden="false" customHeight="false" outlineLevel="0" collapsed="false">
      <c r="A59" s="0" t="s">
        <v>588</v>
      </c>
      <c r="B59" s="29"/>
      <c r="C59" s="29"/>
      <c r="D59" s="29"/>
      <c r="E59" s="29" t="n">
        <f aca="false">SUMPRODUCT(Team!$E$11:$P$11*(Team!$E$14:$P$14-Budget_FY26!$E$56:$P$56)*(Assumptions!$E$204:$P$204&lt;=Assumptions!$C$10))</f>
        <v>-11626.6029156502</v>
      </c>
      <c r="F59" s="29"/>
      <c r="G59" s="29"/>
      <c r="H59" s="29"/>
      <c r="I59" s="29" t="n">
        <f aca="false">SUMPRODUCT(Team!$E$11:$P$11*(Team!$E$14:$P$14-Budget_FY26!$E$56:$P$56))</f>
        <v>-28074.6692927931</v>
      </c>
    </row>
    <row r="60" customFormat="false" ht="15" hidden="false" customHeight="false" outlineLevel="0" collapsed="false">
      <c r="A60" s="0" t="s">
        <v>402</v>
      </c>
      <c r="B60" s="29" t="n">
        <f aca="false">SUMPRODUCT(Team!$E$16:$P$16*(Assumptions!$E$204:$P$204&lt;=Assumptions!$C$10))</f>
        <v>293514.38</v>
      </c>
      <c r="C60" s="29" t="n">
        <f aca="false">SUMPRODUCT(Budget_FY26!$E$11:$P$11*(Assumptions!$E$204:$P$204&lt;=Assumptions!$C$10))</f>
        <v>268077.36</v>
      </c>
      <c r="D60" s="29" t="n">
        <f aca="false">B60-C60</f>
        <v>25437.02</v>
      </c>
      <c r="E60" s="29" t="n">
        <f aca="false">D60</f>
        <v>25437.02</v>
      </c>
      <c r="F60" s="29" t="n">
        <f aca="false">SUMPRODUCT(Team!$E$16:$P$16)</f>
        <v>453712.809341607</v>
      </c>
      <c r="G60" s="29" t="n">
        <f aca="false">SUMPRODUCT(Budget_FY26!$E$11:$P$11)</f>
        <v>424152.36</v>
      </c>
      <c r="H60" s="29" t="n">
        <f aca="false">F60-G60</f>
        <v>29560.4493416074</v>
      </c>
      <c r="I60" s="29" t="n">
        <f aca="false">H60</f>
        <v>29560.4493416074</v>
      </c>
    </row>
    <row r="61" customFormat="false" ht="15" hidden="false" customHeight="false" outlineLevel="0" collapsed="false">
      <c r="A61" s="0" t="s">
        <v>589</v>
      </c>
      <c r="B61" s="29" t="n">
        <f aca="false">SUMPRODUCT(Enterprise!$E$142:$P$142*(Assumptions!$E$204:$P$204&lt;=Assumptions!$C$10))</f>
        <v>30369.41</v>
      </c>
      <c r="C61" s="29" t="n">
        <f aca="false">SUMPRODUCT(Budget_FY26!$E$57:$P$57*(Assumptions!$E$204:$P$204&lt;=Assumptions!$C$10))</f>
        <v>131152.48</v>
      </c>
      <c r="D61" s="29" t="n">
        <f aca="false">B61-C61</f>
        <v>-100783.07</v>
      </c>
      <c r="E61" s="29" t="n">
        <f aca="false">D61</f>
        <v>-100783.07</v>
      </c>
      <c r="F61" s="29" t="n">
        <f aca="false">SUMPRODUCT(Enterprise!$E$142:$P$142)</f>
        <v>30369.41</v>
      </c>
      <c r="G61" s="29" t="n">
        <f aca="false">SUMPRODUCT(Budget_FY26!$E$57:$P$57)</f>
        <v>200749.21</v>
      </c>
      <c r="H61" s="29" t="n">
        <f aca="false">F61-G61</f>
        <v>-170379.8</v>
      </c>
      <c r="I61" s="29" t="n">
        <f aca="false">H61</f>
        <v>-170379.8</v>
      </c>
    </row>
    <row r="62" customFormat="false" ht="15" hidden="false" customHeight="false" outlineLevel="0" collapsed="false">
      <c r="A62" s="0" t="s">
        <v>590</v>
      </c>
      <c r="B62" s="29" t="n">
        <f aca="false">SUMPRODUCT((Enterprise!$E$148:$P$148+Enterprise!$E$149:$P$149+Enterprise!$E$150:$P$150+Enterprise!$E$151:$P$151+Enterprise!$E$152:$P$152+Enterprise!$E$153:$P$153+Enterprise!$E$154:$P$154)*(Assumptions!$E$204:$P$204&lt;=Assumptions!$C$10))</f>
        <v>89228.46</v>
      </c>
      <c r="C62" s="29" t="n">
        <f aca="false">SUMPRODUCT(Budget_FY26!$E$58:$P$58*(Assumptions!$E$204:$P$204&lt;=Assumptions!$C$10))</f>
        <v>130800.39</v>
      </c>
      <c r="D62" s="29" t="n">
        <f aca="false">B62-C62</f>
        <v>-41571.93</v>
      </c>
      <c r="E62" s="29" t="n">
        <f aca="false">D62</f>
        <v>-41571.93</v>
      </c>
      <c r="F62" s="29" t="n">
        <f aca="false">SUMPRODUCT((Enterprise!$E$148:$P$148+Enterprise!$E$149:$P$149+Enterprise!$E$150:$P$150+Enterprise!$E$151:$P$151+Enterprise!$E$152:$P$152+Enterprise!$E$153:$P$153+Enterprise!$E$154:$P$154))</f>
        <v>237170.384115617</v>
      </c>
      <c r="G62" s="29" t="n">
        <f aca="false">SUMPRODUCT(Budget_FY26!$E$58:$P$58)</f>
        <v>325961.58</v>
      </c>
      <c r="H62" s="29" t="n">
        <f aca="false">F62-G62</f>
        <v>-88791.1958843834</v>
      </c>
      <c r="I62" s="29" t="n">
        <f aca="false">H62</f>
        <v>-88791.1958843834</v>
      </c>
    </row>
    <row r="63" customFormat="false" ht="15" hidden="false" customHeight="false" outlineLevel="0" collapsed="false">
      <c r="A63" s="0" t="s">
        <v>591</v>
      </c>
      <c r="B63" s="29" t="n">
        <f aca="false">SUMPRODUCT((Enterprise!$E$202:$P$202-Enterprise!$E$142:$P$142-Enterprise!$E$148:$P$148-Enterprise!$E$149:$P$149-Enterprise!$E$150:$P$150-Enterprise!$E$151:$P$151-Enterprise!$E$152:$P$152-Enterprise!$E$153:$P$153-Enterprise!$E$154:$P$154)*(Assumptions!$E$204:$P$204&lt;=Assumptions!$C$10))</f>
        <v>1848122.22</v>
      </c>
      <c r="C63" s="29" t="n">
        <f aca="false">SUMPRODUCT(Budget_FY26!$E$59:$P$59*(Assumptions!$E$204:$P$204&lt;=Assumptions!$C$10))</f>
        <v>1794777.44</v>
      </c>
      <c r="D63" s="29" t="n">
        <f aca="false">B63-C63</f>
        <v>53344.78</v>
      </c>
      <c r="E63" s="29" t="n">
        <f aca="false">D63</f>
        <v>53344.78</v>
      </c>
      <c r="F63" s="29" t="n">
        <f aca="false">SUMPRODUCT((Enterprise!$E$202:$P$202-Enterprise!$E$142:$P$142-Enterprise!$E$148:$P$148-Enterprise!$E$149:$P$149-Enterprise!$E$150:$P$150-Enterprise!$E$151:$P$151-Enterprise!$E$152:$P$152-Enterprise!$E$153:$P$153-Enterprise!$E$154:$P$154))</f>
        <v>2865179.12510492</v>
      </c>
      <c r="G63" s="29" t="n">
        <f aca="false">SUMPRODUCT(Budget_FY26!$E$59:$P$59)</f>
        <v>2784956.98</v>
      </c>
      <c r="H63" s="29" t="n">
        <f aca="false">F63-G63</f>
        <v>80222.1451049214</v>
      </c>
      <c r="I63" s="29" t="n">
        <f aca="false">H63</f>
        <v>80222.1451049214</v>
      </c>
    </row>
    <row r="64" customFormat="false" ht="15" hidden="false" customHeight="false" outlineLevel="0" collapsed="false">
      <c r="A64" s="0" t="s">
        <v>405</v>
      </c>
      <c r="B64" s="29" t="n">
        <f aca="false">SUMPRODUCT(Enterprise!$E$214:$P$214*(Assumptions!$E$204:$P$204&lt;=Assumptions!$C$10))</f>
        <v>-4517.8</v>
      </c>
      <c r="C64" s="29" t="n">
        <f aca="false">SUMPRODUCT((Enterprise!$E$214:$P$214*0)*(Assumptions!$E$204:$P$204&lt;=Assumptions!$C$10))</f>
        <v>0</v>
      </c>
      <c r="D64" s="29" t="n">
        <f aca="false">B64-C64</f>
        <v>-4517.8</v>
      </c>
      <c r="E64" s="29" t="n">
        <f aca="false">D64</f>
        <v>-4517.8</v>
      </c>
      <c r="F64" s="29" t="n">
        <f aca="false">SUMPRODUCT(Enterprise!$E$214:$P$214)</f>
        <v>-4517.802</v>
      </c>
      <c r="G64" s="29" t="n">
        <f aca="false">SUMPRODUCT((Enterprise!$E$214:$P$214*0))</f>
        <v>0</v>
      </c>
      <c r="H64" s="29" t="n">
        <f aca="false">F64-G64</f>
        <v>-4517.802</v>
      </c>
      <c r="I64" s="29" t="n">
        <f aca="false">H64</f>
        <v>-4517.802</v>
      </c>
    </row>
    <row r="65" customFormat="false" ht="15" hidden="false" customHeight="false" outlineLevel="0" collapsed="false">
      <c r="A65" s="81" t="s">
        <v>592</v>
      </c>
      <c r="E65" s="82" t="n">
        <f aca="false">SUM(E56:E64)</f>
        <v>-109160.710909091</v>
      </c>
      <c r="I65" s="82" t="n">
        <f aca="false">SUM(I56:I64)</f>
        <v>-259765.295105329</v>
      </c>
    </row>
    <row r="66" customFormat="false" ht="15" hidden="false" customHeight="false" outlineLevel="0" collapsed="false">
      <c r="A66" s="5" t="s">
        <v>593</v>
      </c>
      <c r="E66" s="36" t="n">
        <f aca="false">ROUND(E65-D10,0)</f>
        <v>0</v>
      </c>
      <c r="I66" s="36" t="n">
        <f aca="false">ROUND(I65-H10,0)</f>
        <v>0</v>
      </c>
    </row>
    <row r="67" customFormat="false" ht="30" hidden="false" customHeight="true" outlineLevel="0" collapsed="false">
      <c r="A67" s="83" t="s">
        <v>594</v>
      </c>
      <c r="B67" s="83"/>
      <c r="C67" s="83"/>
      <c r="D67" s="83"/>
      <c r="E67" s="83"/>
      <c r="F67" s="83"/>
      <c r="G67" s="83"/>
      <c r="H67" s="83"/>
      <c r="I67" s="83"/>
      <c r="J67" s="83"/>
    </row>
    <row r="69" customFormat="false" ht="15" hidden="false" customHeight="false" outlineLevel="0" collapsed="false">
      <c r="A69" s="22" t="s">
        <v>595</v>
      </c>
      <c r="B69" s="23"/>
      <c r="C69" s="23"/>
      <c r="D69" s="23"/>
      <c r="E69" s="23"/>
      <c r="F69" s="23"/>
      <c r="G69" s="23"/>
      <c r="H69" s="23"/>
      <c r="I69" s="23"/>
      <c r="J69" s="23"/>
    </row>
    <row r="70" customFormat="false" ht="15" hidden="false" customHeight="false" outlineLevel="0" collapsed="false">
      <c r="A70" s="5" t="s">
        <v>596</v>
      </c>
      <c r="B70" s="29" t="n">
        <f aca="false">C37</f>
        <v>-2969984.36</v>
      </c>
    </row>
    <row r="71" customFormat="false" ht="15" hidden="false" customHeight="false" outlineLevel="0" collapsed="false">
      <c r="A71" s="84" t="s">
        <v>561</v>
      </c>
      <c r="B71" s="29" t="n">
        <f aca="false">D7</f>
        <v>16089.0190909092</v>
      </c>
    </row>
    <row r="72" customFormat="false" ht="15" hidden="false" customHeight="false" outlineLevel="0" collapsed="false">
      <c r="A72" s="84" t="s">
        <v>562</v>
      </c>
      <c r="B72" s="29" t="n">
        <f aca="false">D8</f>
        <v>-31721.7100000002</v>
      </c>
    </row>
    <row r="73" customFormat="false" ht="15" hidden="false" customHeight="false" outlineLevel="0" collapsed="false">
      <c r="A73" s="84" t="s">
        <v>563</v>
      </c>
      <c r="B73" s="29" t="n">
        <f aca="false">D9</f>
        <v>-93528.02</v>
      </c>
    </row>
    <row r="74" customFormat="false" ht="15" hidden="false" customHeight="false" outlineLevel="0" collapsed="false">
      <c r="A74" s="84" t="s">
        <v>597</v>
      </c>
      <c r="B74" s="29" t="n">
        <f aca="false">D11+D12</f>
        <v>5631.56201455026</v>
      </c>
    </row>
    <row r="75" customFormat="false" ht="15" hidden="false" customHeight="false" outlineLevel="0" collapsed="false">
      <c r="A75" s="84" t="s">
        <v>598</v>
      </c>
      <c r="B75" s="29" t="n">
        <f aca="false">D13+D14</f>
        <v>-31013.6824865744</v>
      </c>
    </row>
    <row r="76" customFormat="false" ht="15" hidden="false" customHeight="false" outlineLevel="0" collapsed="false">
      <c r="A76" s="84" t="s">
        <v>412</v>
      </c>
      <c r="B76" s="29" t="n">
        <f aca="false">D15</f>
        <v>12087.7359838805</v>
      </c>
    </row>
    <row r="77" customFormat="false" ht="15" hidden="false" customHeight="false" outlineLevel="0" collapsed="false">
      <c r="A77" s="84" t="s">
        <v>566</v>
      </c>
      <c r="B77" s="29" t="n">
        <f aca="false">D16</f>
        <v>-97903.9075304063</v>
      </c>
    </row>
    <row r="78" customFormat="false" ht="15" hidden="false" customHeight="false" outlineLevel="0" collapsed="false">
      <c r="A78" s="84" t="s">
        <v>414</v>
      </c>
      <c r="B78" s="29" t="n">
        <f aca="false">D17</f>
        <v>145.589999999997</v>
      </c>
    </row>
    <row r="79" customFormat="false" ht="15" hidden="false" customHeight="false" outlineLevel="0" collapsed="false">
      <c r="A79" s="84" t="s">
        <v>567</v>
      </c>
      <c r="B79" s="29" t="n">
        <f aca="false">D18</f>
        <v>-1435.60761748778</v>
      </c>
    </row>
    <row r="80" customFormat="false" ht="15" hidden="false" customHeight="false" outlineLevel="0" collapsed="false">
      <c r="A80" s="84" t="s">
        <v>599</v>
      </c>
      <c r="B80" s="29" t="n">
        <f aca="false">D22+D23</f>
        <v>99501.3839330794</v>
      </c>
    </row>
    <row r="81" customFormat="false" ht="15" hidden="false" customHeight="false" outlineLevel="0" collapsed="false">
      <c r="A81" s="84" t="s">
        <v>423</v>
      </c>
      <c r="B81" s="29" t="n">
        <f aca="false">D24</f>
        <v>32798.6837864525</v>
      </c>
    </row>
    <row r="82" customFormat="false" ht="15" hidden="false" customHeight="false" outlineLevel="0" collapsed="false">
      <c r="A82" s="84" t="s">
        <v>600</v>
      </c>
      <c r="B82" s="29" t="n">
        <f aca="false">D25+D26</f>
        <v>-21138.33</v>
      </c>
    </row>
    <row r="83" customFormat="false" ht="15" hidden="false" customHeight="false" outlineLevel="0" collapsed="false">
      <c r="A83" s="84" t="s">
        <v>426</v>
      </c>
      <c r="B83" s="29" t="n">
        <f aca="false">D27</f>
        <v>-3602.97383277898</v>
      </c>
    </row>
    <row r="84" customFormat="false" ht="15" hidden="false" customHeight="false" outlineLevel="0" collapsed="false">
      <c r="A84" s="84" t="s">
        <v>601</v>
      </c>
      <c r="B84" s="29" t="n">
        <f aca="false">D28+D29+D30+D31+D32+D33+D34</f>
        <v>26572.78</v>
      </c>
    </row>
    <row r="85" customFormat="false" ht="15" hidden="false" customHeight="false" outlineLevel="0" collapsed="false">
      <c r="A85" s="84" t="s">
        <v>602</v>
      </c>
      <c r="B85" s="29" t="n">
        <f aca="false">D36</f>
        <v>-25867.6524</v>
      </c>
    </row>
    <row r="86" customFormat="false" ht="15" hidden="false" customHeight="false" outlineLevel="0" collapsed="false">
      <c r="A86" s="5" t="s">
        <v>603</v>
      </c>
      <c r="B86" s="29" t="n">
        <f aca="false">B37</f>
        <v>-3083369.48905838</v>
      </c>
    </row>
    <row r="87" customFormat="false" ht="15" hidden="false" customHeight="false" outlineLevel="0" collapsed="false">
      <c r="A87" s="5" t="s">
        <v>604</v>
      </c>
      <c r="B87" s="36" t="n">
        <f aca="false">ROUND(SUM(B70:B85)-B86,0)</f>
        <v>0</v>
      </c>
    </row>
  </sheetData>
  <mergeCells count="1">
    <mergeCell ref="A67:J6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605</v>
      </c>
    </row>
    <row r="3" customFormat="false" ht="15" hidden="false" customHeight="false" outlineLevel="0" collapsed="false">
      <c r="A3" s="25" t="s">
        <v>606</v>
      </c>
    </row>
    <row r="5" customFormat="false" ht="15" hidden="false" customHeight="false" outlineLevel="0" collapsed="false">
      <c r="A5" s="0" t="s">
        <v>607</v>
      </c>
      <c r="B5" s="81" t="s">
        <v>608</v>
      </c>
    </row>
    <row r="6" customFormat="false" ht="15" hidden="false" customHeight="false" outlineLevel="0" collapsed="false">
      <c r="A6" s="0" t="s">
        <v>609</v>
      </c>
      <c r="B6" s="85" t="str">
        <f aca="false">Assumptions!$C$12</f>
        <v>Base</v>
      </c>
    </row>
    <row r="8" customFormat="false" ht="23.85" hidden="false" customHeight="false" outlineLevel="0" collapsed="false">
      <c r="A8" s="26" t="s">
        <v>610</v>
      </c>
      <c r="B8" s="27" t="s">
        <v>611</v>
      </c>
      <c r="C8" s="27" t="s">
        <v>612</v>
      </c>
      <c r="D8" s="27" t="s">
        <v>613</v>
      </c>
      <c r="E8" s="27" t="s">
        <v>614</v>
      </c>
      <c r="F8" s="27" t="s">
        <v>615</v>
      </c>
      <c r="G8" s="27" t="s">
        <v>616</v>
      </c>
    </row>
    <row r="9" customFormat="false" ht="15" hidden="false" customHeight="false" outlineLevel="0" collapsed="false">
      <c r="A9" s="0" t="s">
        <v>617</v>
      </c>
      <c r="B9" s="62" t="s">
        <v>618</v>
      </c>
      <c r="C9" s="86" t="n">
        <v>6615228.14489467</v>
      </c>
      <c r="D9" s="86" t="n">
        <v>6461934.69496837</v>
      </c>
      <c r="E9" s="86" t="n">
        <v>6686782.33854512</v>
      </c>
      <c r="F9" s="87" t="n">
        <f aca="false">PL!$C$15</f>
        <v>6615228.14489467</v>
      </c>
      <c r="G9" s="29" t="n">
        <f aca="false">ROUND(F9-INDEX(C9:E9,Assumptions!$C$11),0)</f>
        <v>0</v>
      </c>
    </row>
    <row r="10" customFormat="false" ht="15" hidden="false" customHeight="false" outlineLevel="0" collapsed="false">
      <c r="A10" s="0" t="s">
        <v>619</v>
      </c>
      <c r="B10" s="62" t="s">
        <v>618</v>
      </c>
      <c r="C10" s="86" t="n">
        <v>8683872.00089744</v>
      </c>
      <c r="D10" s="86" t="n">
        <v>6948117.97014615</v>
      </c>
      <c r="E10" s="86" t="n">
        <v>9599358.54378726</v>
      </c>
      <c r="F10" s="87" t="n">
        <f aca="false">PL!$D$15</f>
        <v>8683872.00089744</v>
      </c>
      <c r="G10" s="29" t="n">
        <f aca="false">ROUND(F10-INDEX(C10:E10,Assumptions!$C$11),0)</f>
        <v>0</v>
      </c>
    </row>
    <row r="11" customFormat="false" ht="15" hidden="false" customHeight="false" outlineLevel="0" collapsed="false">
      <c r="A11" s="0" t="s">
        <v>620</v>
      </c>
      <c r="B11" s="62" t="s">
        <v>621</v>
      </c>
      <c r="C11" s="88" t="n">
        <v>0.312709374596439</v>
      </c>
      <c r="D11" s="88" t="n">
        <v>0.0752380359950635</v>
      </c>
      <c r="E11" s="88" t="n">
        <v>0.435572156798489</v>
      </c>
      <c r="F11" s="89" t="n">
        <f aca="false">IF(PL!$C$15=0,0,PL!$D$15/PL!$C$15-1)</f>
        <v>0.312709374596439</v>
      </c>
      <c r="G11" s="90" t="n">
        <f aca="false">ROUND(F11-INDEX(C11:E11,Assumptions!$C$11),4)</f>
        <v>0</v>
      </c>
    </row>
    <row r="12" customFormat="false" ht="15" hidden="false" customHeight="false" outlineLevel="0" collapsed="false">
      <c r="A12" s="0" t="s">
        <v>622</v>
      </c>
      <c r="B12" s="62" t="s">
        <v>621</v>
      </c>
      <c r="C12" s="88" t="n">
        <v>0.585325677668676</v>
      </c>
      <c r="D12" s="88" t="n">
        <v>0.568747856561356</v>
      </c>
      <c r="E12" s="88" t="n">
        <v>0.592775132019472</v>
      </c>
      <c r="F12" s="89" t="n">
        <f aca="false">PL!$C$27</f>
        <v>0.585325677668676</v>
      </c>
      <c r="G12" s="90" t="n">
        <f aca="false">ROUND(F12-INDEX(C12:E12,Assumptions!$C$11),4)</f>
        <v>0</v>
      </c>
    </row>
    <row r="13" customFormat="false" ht="15" hidden="false" customHeight="false" outlineLevel="0" collapsed="false">
      <c r="A13" s="0" t="s">
        <v>623</v>
      </c>
      <c r="B13" s="62" t="s">
        <v>621</v>
      </c>
      <c r="C13" s="88" t="n">
        <v>0.619396757900451</v>
      </c>
      <c r="D13" s="88" t="n">
        <v>0.530213500153305</v>
      </c>
      <c r="E13" s="88" t="n">
        <v>0.657722973764532</v>
      </c>
      <c r="F13" s="89" t="n">
        <f aca="false">PL!$D$27</f>
        <v>0.619396757900451</v>
      </c>
      <c r="G13" s="90" t="n">
        <f aca="false">ROUND(F13-INDEX(C13:E13,Assumptions!$C$11),4)</f>
        <v>0</v>
      </c>
    </row>
    <row r="14" customFormat="false" ht="15" hidden="false" customHeight="false" outlineLevel="0" collapsed="false">
      <c r="A14" s="0" t="s">
        <v>624</v>
      </c>
      <c r="B14" s="62" t="s">
        <v>621</v>
      </c>
      <c r="C14" s="88" t="n">
        <v>0.236262962290188</v>
      </c>
      <c r="D14" s="88" t="n">
        <v>0.31303889734002</v>
      </c>
      <c r="E14" s="88" t="n">
        <v>0.210029660367082</v>
      </c>
      <c r="F14" s="89" t="n">
        <f aca="false">PL!$D$67</f>
        <v>0.236262962290188</v>
      </c>
      <c r="G14" s="90" t="n">
        <f aca="false">ROUND(F14-INDEX(C14:E14,Assumptions!$C$11),4)</f>
        <v>0</v>
      </c>
    </row>
    <row r="15" customFormat="false" ht="15" hidden="false" customHeight="false" outlineLevel="0" collapsed="false">
      <c r="A15" s="0" t="s">
        <v>625</v>
      </c>
      <c r="B15" s="62" t="s">
        <v>618</v>
      </c>
      <c r="C15" s="86" t="n">
        <v>-4483458.73454856</v>
      </c>
      <c r="D15" s="86" t="n">
        <v>-4608065.64464629</v>
      </c>
      <c r="E15" s="86" t="n">
        <v>-4405290.6801754</v>
      </c>
      <c r="F15" s="87" t="n">
        <f aca="false">PL!$C$44</f>
        <v>-4483458.73454856</v>
      </c>
      <c r="G15" s="29" t="n">
        <f aca="false">ROUND(F15-INDEX(C15:E15,Assumptions!$C$11),0)</f>
        <v>0</v>
      </c>
    </row>
    <row r="16" customFormat="false" ht="15" hidden="false" customHeight="false" outlineLevel="0" collapsed="false">
      <c r="A16" s="0" t="s">
        <v>626</v>
      </c>
      <c r="B16" s="62" t="s">
        <v>618</v>
      </c>
      <c r="C16" s="86" t="n">
        <v>-4111553.04559383</v>
      </c>
      <c r="D16" s="86" t="n">
        <v>-4789844.52148835</v>
      </c>
      <c r="E16" s="86" t="n">
        <v>-3344098.87992097</v>
      </c>
      <c r="F16" s="87" t="n">
        <f aca="false">PL!$D$44</f>
        <v>-4111553.04559383</v>
      </c>
      <c r="G16" s="29" t="n">
        <f aca="false">ROUND(F16-INDEX(C16:E16,Assumptions!$C$11),0)</f>
        <v>0</v>
      </c>
    </row>
    <row r="17" customFormat="false" ht="15" hidden="false" customHeight="false" outlineLevel="0" collapsed="false">
      <c r="A17" s="0" t="s">
        <v>627</v>
      </c>
      <c r="B17" s="62" t="s">
        <v>618</v>
      </c>
      <c r="C17" s="86" t="n">
        <v>-5423328.18397729</v>
      </c>
      <c r="D17" s="86" t="n">
        <v>-5983033.82908773</v>
      </c>
      <c r="E17" s="86" t="n">
        <v>-4662242.1038344</v>
      </c>
      <c r="F17" s="87" t="n">
        <f aca="false">PL!$D$46</f>
        <v>-5423328.18397729</v>
      </c>
      <c r="G17" s="29" t="n">
        <f aca="false">ROUND(F17-INDEX(C17:E17,Assumptions!$C$11),0)</f>
        <v>0</v>
      </c>
    </row>
    <row r="18" customFormat="false" ht="15" hidden="false" customHeight="false" outlineLevel="0" collapsed="false">
      <c r="A18" s="0" t="s">
        <v>628</v>
      </c>
      <c r="B18" s="62" t="s">
        <v>618</v>
      </c>
      <c r="C18" s="86" t="n">
        <v>-4121188.63571631</v>
      </c>
      <c r="D18" s="86" t="n">
        <v>-4805770.27733981</v>
      </c>
      <c r="E18" s="86" t="n">
        <v>-3345349.96821394</v>
      </c>
      <c r="F18" s="87" t="n">
        <f aca="false">PL!$D$54</f>
        <v>-4121188.63571631</v>
      </c>
      <c r="G18" s="29" t="n">
        <f aca="false">ROUND(F18-INDEX(C18:E18,Assumptions!$C$11),0)</f>
        <v>0</v>
      </c>
    </row>
    <row r="19" customFormat="false" ht="15" hidden="false" customHeight="false" outlineLevel="0" collapsed="false">
      <c r="A19" s="0" t="s">
        <v>261</v>
      </c>
      <c r="B19" s="62" t="s">
        <v>621</v>
      </c>
      <c r="C19" s="88" t="n">
        <v>1.17262202567779</v>
      </c>
      <c r="D19" s="88" t="n">
        <v>0.893148074384017</v>
      </c>
      <c r="E19" s="88" t="n">
        <v>1.30526957197413</v>
      </c>
      <c r="F19" s="89" t="n">
        <f aca="false">Enterprise!$D$220</f>
        <v>1.17262202567779</v>
      </c>
      <c r="G19" s="90" t="n">
        <f aca="false">ROUND(F19-INDEX(C19:E19,Assumptions!$C$11),4)</f>
        <v>0</v>
      </c>
    </row>
    <row r="20" customFormat="false" ht="15" hidden="false" customHeight="false" outlineLevel="0" collapsed="false">
      <c r="A20" s="0" t="s">
        <v>629</v>
      </c>
      <c r="B20" s="62" t="s">
        <v>618</v>
      </c>
      <c r="C20" s="86" t="n">
        <v>113508.857432685</v>
      </c>
      <c r="D20" s="86" t="n">
        <v>117738.779105744</v>
      </c>
      <c r="E20" s="86" t="n">
        <v>111625.821806513</v>
      </c>
      <c r="F20" s="87" t="n">
        <f aca="false">Commitments!$C$12</f>
        <v>113508.857432685</v>
      </c>
      <c r="G20" s="29" t="n">
        <f aca="false">ROUND(F20-INDEX(C20:E20,Assumptions!$C$11),0)</f>
        <v>0</v>
      </c>
    </row>
    <row r="21" customFormat="false" ht="15" hidden="false" customHeight="false" outlineLevel="0" collapsed="false">
      <c r="A21" s="0" t="s">
        <v>630</v>
      </c>
      <c r="B21" s="62" t="s">
        <v>618</v>
      </c>
      <c r="C21" s="86" t="n">
        <v>0</v>
      </c>
      <c r="D21" s="86" t="n">
        <v>0</v>
      </c>
      <c r="E21" s="86" t="n">
        <v>0</v>
      </c>
      <c r="F21" s="87" t="n">
        <f aca="false">Commitments!$D$12</f>
        <v>0</v>
      </c>
      <c r="G21" s="29" t="n">
        <f aca="false">ROUND(F21-INDEX(C21:E21,Assumptions!$C$11),0)</f>
        <v>0</v>
      </c>
    </row>
    <row r="22" customFormat="false" ht="15" hidden="false" customHeight="false" outlineLevel="0" collapsed="false">
      <c r="A22" s="0" t="s">
        <v>631</v>
      </c>
      <c r="B22" s="62" t="s">
        <v>618</v>
      </c>
      <c r="C22" s="86" t="n">
        <v>0</v>
      </c>
      <c r="D22" s="86" t="n">
        <v>843.74805552905</v>
      </c>
      <c r="E22" s="86" t="n">
        <v>0</v>
      </c>
      <c r="F22" s="87" t="n">
        <f aca="false">Usage_Compute!$D$22</f>
        <v>0</v>
      </c>
      <c r="G22" s="29" t="n">
        <f aca="false">ROUND(F22-INDEX(C22:E22,Assumptions!$C$11),0)</f>
        <v>0</v>
      </c>
    </row>
    <row r="23" customFormat="false" ht="15" hidden="false" customHeight="false" outlineLevel="0" collapsed="false">
      <c r="A23" s="0" t="s">
        <v>632</v>
      </c>
      <c r="B23" s="62" t="s">
        <v>618</v>
      </c>
      <c r="C23" s="86" t="n">
        <v>7793186.71369928</v>
      </c>
      <c r="D23" s="86" t="n">
        <v>7536276.14940569</v>
      </c>
      <c r="E23" s="86" t="n">
        <v>7874277.3889968</v>
      </c>
      <c r="F23" s="87" t="n">
        <f aca="false">BS!$C$9</f>
        <v>7793186.71369928</v>
      </c>
      <c r="G23" s="29" t="n">
        <f aca="false">ROUND(F23-INDEX(C23:E23,Assumptions!$C$11),0)</f>
        <v>0</v>
      </c>
    </row>
    <row r="24" customFormat="false" ht="15" hidden="false" customHeight="false" outlineLevel="0" collapsed="false">
      <c r="A24" s="0" t="s">
        <v>633</v>
      </c>
      <c r="B24" s="62" t="s">
        <v>618</v>
      </c>
      <c r="C24" s="86" t="n">
        <v>3525929.54743888</v>
      </c>
      <c r="D24" s="86" t="n">
        <v>2689612.86492672</v>
      </c>
      <c r="E24" s="86" t="n">
        <v>4378557.34159022</v>
      </c>
      <c r="F24" s="87" t="n">
        <f aca="false">BS!$D$9</f>
        <v>3525929.54743888</v>
      </c>
      <c r="G24" s="29" t="n">
        <f aca="false">ROUND(F24-INDEX(C24:E24,Assumptions!$C$11),0)</f>
        <v>0</v>
      </c>
    </row>
    <row r="25" customFormat="false" ht="15" hidden="false" customHeight="false" outlineLevel="0" collapsed="false">
      <c r="A25" s="0" t="s">
        <v>634</v>
      </c>
      <c r="B25" s="62" t="s">
        <v>618</v>
      </c>
      <c r="C25" s="86" t="n">
        <v>3525929.54743888</v>
      </c>
      <c r="D25" s="86" t="n">
        <v>1918094.81116735</v>
      </c>
      <c r="E25" s="86" t="n">
        <v>4378557.34159022</v>
      </c>
      <c r="F25" s="87" t="n">
        <f aca="false">MIN(BS!M9:AB9)</f>
        <v>3525929.54743888</v>
      </c>
      <c r="G25" s="29" t="n">
        <f aca="false">ROUND(F25-INDEX(C25:E25,Assumptions!$C$11),0)</f>
        <v>0</v>
      </c>
    </row>
    <row r="26" customFormat="false" ht="15" hidden="false" customHeight="false" outlineLevel="0" collapsed="false">
      <c r="A26" s="0" t="s">
        <v>635</v>
      </c>
      <c r="B26" s="62" t="s">
        <v>636</v>
      </c>
      <c r="C26" s="91" t="n">
        <v>46752</v>
      </c>
      <c r="D26" s="91" t="n">
        <v>46721</v>
      </c>
      <c r="E26" s="91" t="n">
        <v>46752</v>
      </c>
      <c r="F26" s="92" t="n">
        <f aca="false">INDEX(Assumptions!M$203:AB$203,MATCH(F25,BS!M9:AB9,0))</f>
        <v>46752</v>
      </c>
      <c r="G26" s="29" t="n">
        <f aca="false">IF(F26=INDEX(C26:E26,Assumptions!$C$11),0,1)</f>
        <v>0</v>
      </c>
    </row>
    <row r="27" customFormat="false" ht="15" hidden="false" customHeight="false" outlineLevel="0" collapsed="false">
      <c r="A27" s="0" t="s">
        <v>637</v>
      </c>
      <c r="B27" s="62" t="s">
        <v>618</v>
      </c>
      <c r="C27" s="86" t="n">
        <v>525929.547438884</v>
      </c>
      <c r="D27" s="86" t="n">
        <v>-1081905.18883265</v>
      </c>
      <c r="E27" s="86" t="n">
        <v>1378557.34159022</v>
      </c>
      <c r="F27" s="87" t="n">
        <f aca="false">F25-Assumptions!$C$13</f>
        <v>525929.547438884</v>
      </c>
      <c r="G27" s="29" t="n">
        <f aca="false">ROUND(F27-INDEX(C27:E27,Assumptions!$C$11),0)</f>
        <v>0</v>
      </c>
    </row>
    <row r="28" customFormat="false" ht="15" hidden="false" customHeight="false" outlineLevel="0" collapsed="false">
      <c r="A28" s="0" t="s">
        <v>638</v>
      </c>
      <c r="B28" s="62" t="s">
        <v>618</v>
      </c>
      <c r="C28" s="86" t="n">
        <v>1311775.13838346</v>
      </c>
      <c r="D28" s="86" t="n">
        <v>1193189.30759939</v>
      </c>
      <c r="E28" s="86" t="n">
        <v>1318143.22391342</v>
      </c>
      <c r="F28" s="87" t="n">
        <f aca="false">Research_Credit!$D$13</f>
        <v>1311775.13838346</v>
      </c>
      <c r="G28" s="29" t="n">
        <f aca="false">ROUND(F28-INDEX(C28:E28,Assumptions!$C$11),0)</f>
        <v>0</v>
      </c>
    </row>
    <row r="29" customFormat="false" ht="15" hidden="false" customHeight="false" outlineLevel="0" collapsed="false">
      <c r="A29" s="0" t="s">
        <v>639</v>
      </c>
      <c r="B29" s="62" t="s">
        <v>618</v>
      </c>
      <c r="C29" s="86" t="n">
        <v>4267257.1662604</v>
      </c>
      <c r="D29" s="86" t="n">
        <v>4846663.28447897</v>
      </c>
      <c r="E29" s="86" t="n">
        <v>3495720.04740658</v>
      </c>
      <c r="F29" s="87" t="n">
        <f aca="false">CF!$D$31</f>
        <v>4267257.1662604</v>
      </c>
      <c r="G29" s="29" t="n">
        <f aca="false">ROUND(F29-INDEX(C29:E29,Assumptions!$C$11),0)</f>
        <v>0</v>
      </c>
    </row>
    <row r="30" customFormat="false" ht="15" hidden="false" customHeight="false" outlineLevel="0" collapsed="false">
      <c r="A30" s="0" t="s">
        <v>640</v>
      </c>
      <c r="B30" s="62" t="s">
        <v>641</v>
      </c>
      <c r="C30" s="93" t="n">
        <v>90.099478165392</v>
      </c>
      <c r="D30" s="93" t="n">
        <v>79.2968303834381</v>
      </c>
      <c r="E30" s="93" t="n">
        <v>90.099478165392</v>
      </c>
      <c r="F30" s="94" t="n">
        <f aca="false">People!$D$22</f>
        <v>90.099478165392</v>
      </c>
      <c r="G30" s="90" t="n">
        <f aca="false">ROUND(F30-INDEX(C30:E30,Assumptions!$C$11),4)</f>
        <v>0</v>
      </c>
    </row>
    <row r="32" customFormat="false" ht="15" hidden="false" customHeight="false" outlineLevel="0" collapsed="false">
      <c r="A32" s="5" t="s">
        <v>642</v>
      </c>
      <c r="G32" s="81" t="n">
        <f aca="false">SUMPRODUCT(ABS(G9:G31))</f>
        <v>0</v>
      </c>
    </row>
    <row r="34" customFormat="false" ht="15" hidden="false" customHeight="false" outlineLevel="0" collapsed="false">
      <c r="A34" s="22" t="s">
        <v>643</v>
      </c>
      <c r="B34" s="23"/>
      <c r="C34" s="23"/>
      <c r="D34" s="23"/>
      <c r="E34" s="23"/>
      <c r="F34" s="23"/>
      <c r="G34" s="23"/>
    </row>
    <row r="35" customFormat="false" ht="15" hidden="false" customHeight="false" outlineLevel="0" collapsed="false">
      <c r="A35" s="0" t="str">
        <f aca="false">Assumptions!A179</f>
        <v>Developer credit purchases: growth a month</v>
      </c>
      <c r="B35" s="62" t="str">
        <f aca="false">Assumptions!B179</f>
        <v>rate</v>
      </c>
      <c r="C35" s="63" t="n">
        <f aca="false">Assumptions!C179</f>
        <v>0.03</v>
      </c>
      <c r="D35" s="63" t="n">
        <f aca="false">Assumptions!D179</f>
        <v>0.01</v>
      </c>
      <c r="E35" s="63" t="n">
        <f aca="false">Assumptions!E179</f>
        <v>0.04</v>
      </c>
      <c r="F35" s="89" t="n">
        <f aca="false">Assumptions!F179</f>
        <v>0.03</v>
      </c>
    </row>
    <row r="36" customFormat="false" ht="15" hidden="false" customHeight="false" outlineLevel="0" collapsed="false">
      <c r="A36" s="0" t="str">
        <f aca="false">Assumptions!A180</f>
        <v>Team: new customers (x run-rate)</v>
      </c>
      <c r="B36" s="62" t="str">
        <f aca="false">Assumptions!B180</f>
        <v>x</v>
      </c>
      <c r="C36" s="95" t="n">
        <f aca="false">Assumptions!C180</f>
        <v>1</v>
      </c>
      <c r="D36" s="95" t="n">
        <f aca="false">Assumptions!D180</f>
        <v>0.7</v>
      </c>
      <c r="E36" s="95" t="n">
        <f aca="false">Assumptions!E180</f>
        <v>1.15</v>
      </c>
      <c r="F36" s="96" t="n">
        <f aca="false">Assumptions!F180</f>
        <v>1</v>
      </c>
    </row>
    <row r="37" customFormat="false" ht="15" hidden="false" customHeight="false" outlineLevel="0" collapsed="false">
      <c r="A37" s="0" t="str">
        <f aca="false">Assumptions!A181</f>
        <v>Team: customers lost (x YTD rate)</v>
      </c>
      <c r="B37" s="62" t="str">
        <f aca="false">Assumptions!B181</f>
        <v>x</v>
      </c>
      <c r="C37" s="95" t="n">
        <f aca="false">Assumptions!C181</f>
        <v>1</v>
      </c>
      <c r="D37" s="95" t="n">
        <f aca="false">Assumptions!D181</f>
        <v>1.3</v>
      </c>
      <c r="E37" s="95" t="n">
        <f aca="false">Assumptions!E181</f>
        <v>0.85</v>
      </c>
      <c r="F37" s="96" t="n">
        <f aca="false">Assumptions!F181</f>
        <v>1</v>
      </c>
    </row>
    <row r="38" customFormat="false" ht="15" hidden="false" customHeight="false" outlineLevel="0" collapsed="false">
      <c r="A38" s="0" t="str">
        <f aca="false">Assumptions!A182</f>
        <v>Team: usage above the allowance (share of plan fees)</v>
      </c>
      <c r="B38" s="62" t="str">
        <f aca="false">Assumptions!B182</f>
        <v>share</v>
      </c>
      <c r="C38" s="63" t="n">
        <f aca="false">Assumptions!C182</f>
        <v>0.23</v>
      </c>
      <c r="D38" s="63" t="n">
        <f aca="false">Assumptions!D182</f>
        <v>0.19</v>
      </c>
      <c r="E38" s="63" t="n">
        <f aca="false">Assumptions!E182</f>
        <v>0.25</v>
      </c>
      <c r="F38" s="89" t="n">
        <f aca="false">Assumptions!F182</f>
        <v>0.23</v>
      </c>
    </row>
    <row r="39" customFormat="false" ht="15" hidden="false" customHeight="false" outlineLevel="0" collapsed="false">
      <c r="A39" s="0" t="str">
        <f aca="false">Assumptions!A183</f>
        <v>Enterprise: usage growth (x account rates on the Account_Register)</v>
      </c>
      <c r="B39" s="62" t="str">
        <f aca="false">Assumptions!B183</f>
        <v>x</v>
      </c>
      <c r="C39" s="95" t="n">
        <f aca="false">Assumptions!C183</f>
        <v>1</v>
      </c>
      <c r="D39" s="95" t="n">
        <f aca="false">Assumptions!D183</f>
        <v>0.5</v>
      </c>
      <c r="E39" s="95" t="n">
        <f aca="false">Assumptions!E183</f>
        <v>1.25</v>
      </c>
      <c r="F39" s="96" t="n">
        <f aca="false">Assumptions!F183</f>
        <v>1</v>
      </c>
    </row>
    <row r="40" customFormat="false" ht="15" hidden="false" customHeight="false" outlineLevel="0" collapsed="false">
      <c r="A40" s="0" t="str">
        <f aca="false">Assumptions!A184</f>
        <v>Enterprise: commitment uplift at renewal</v>
      </c>
      <c r="B40" s="62" t="str">
        <f aca="false">Assumptions!B184</f>
        <v>rate</v>
      </c>
      <c r="C40" s="63" t="n">
        <f aca="false">Assumptions!C184</f>
        <v>0.08</v>
      </c>
      <c r="D40" s="63" t="n">
        <f aca="false">Assumptions!D184</f>
        <v>0</v>
      </c>
      <c r="E40" s="63" t="n">
        <f aca="false">Assumptions!E184</f>
        <v>0.12</v>
      </c>
      <c r="F40" s="89" t="n">
        <f aca="false">Assumptions!F184</f>
        <v>0.08</v>
      </c>
    </row>
    <row r="41" customFormat="false" ht="15" hidden="false" customHeight="false" outlineLevel="0" collapsed="false">
      <c r="A41" s="0" t="str">
        <f aca="false">Assumptions!A185</f>
        <v>Enterprise pipeline: start delay</v>
      </c>
      <c r="B41" s="62" t="str">
        <f aca="false">Assumptions!B185</f>
        <v>months</v>
      </c>
      <c r="C41" s="70" t="n">
        <f aca="false">Assumptions!C185</f>
        <v>0</v>
      </c>
      <c r="D41" s="70" t="n">
        <f aca="false">Assumptions!D185</f>
        <v>2</v>
      </c>
      <c r="E41" s="70" t="n">
        <f aca="false">Assumptions!E185</f>
        <v>0</v>
      </c>
      <c r="F41" s="97" t="n">
        <f aca="false">Assumptions!F185</f>
        <v>0</v>
      </c>
    </row>
    <row r="42" customFormat="false" ht="15" hidden="false" customHeight="false" outlineLevel="0" collapsed="false">
      <c r="A42" s="0" t="str">
        <f aca="false">Assumptions!A186</f>
        <v>List price cut on 1 January 2027 (customers keep their budget: units rise)</v>
      </c>
      <c r="B42" s="62" t="str">
        <f aca="false">Assumptions!B186</f>
        <v>share</v>
      </c>
      <c r="C42" s="63" t="n">
        <f aca="false">Assumptions!C186</f>
        <v>0.1</v>
      </c>
      <c r="D42" s="63" t="n">
        <f aca="false">Assumptions!D186</f>
        <v>0.2</v>
      </c>
      <c r="E42" s="63" t="n">
        <f aca="false">Assumptions!E186</f>
        <v>0.05</v>
      </c>
      <c r="F42" s="89" t="n">
        <f aca="false">Assumptions!F186</f>
        <v>0.1</v>
      </c>
    </row>
    <row r="43" customFormat="false" ht="15" hidden="false" customHeight="false" outlineLevel="0" collapsed="false">
      <c r="A43" s="0" t="str">
        <f aca="false">Assumptions!A187</f>
        <v>Model API vendor B: price per million tokens from Oct-26</v>
      </c>
      <c r="B43" s="62" t="str">
        <f aca="false">Assumptions!B187</f>
        <v>USD</v>
      </c>
      <c r="C43" s="72" t="n">
        <f aca="false">Assumptions!C187</f>
        <v>1.5</v>
      </c>
      <c r="D43" s="72" t="n">
        <f aca="false">Assumptions!D187</f>
        <v>1.8</v>
      </c>
      <c r="E43" s="72" t="n">
        <f aca="false">Assumptions!E187</f>
        <v>1.4</v>
      </c>
      <c r="F43" s="98" t="n">
        <f aca="false">Assumptions!F187</f>
        <v>1.5</v>
      </c>
    </row>
    <row r="44" customFormat="false" ht="15" hidden="false" customHeight="false" outlineLevel="0" collapsed="false">
      <c r="A44" s="0" t="str">
        <f aca="false">Assumptions!A188</f>
        <v>GPU hours per unit: reduction a quarter from Q4-26</v>
      </c>
      <c r="B44" s="62" t="str">
        <f aca="false">Assumptions!B188</f>
        <v>rate</v>
      </c>
      <c r="C44" s="63" t="n">
        <f aca="false">Assumptions!C188</f>
        <v>0.03</v>
      </c>
      <c r="D44" s="63" t="n">
        <f aca="false">Assumptions!D188</f>
        <v>0.01</v>
      </c>
      <c r="E44" s="63" t="n">
        <f aca="false">Assumptions!E188</f>
        <v>0.04</v>
      </c>
      <c r="F44" s="89" t="n">
        <f aca="false">Assumptions!F188</f>
        <v>0.03</v>
      </c>
    </row>
    <row r="45" customFormat="false" ht="15" hidden="false" customHeight="false" outlineLevel="0" collapsed="false">
      <c r="A45" s="0" t="str">
        <f aca="false">Assumptions!A189</f>
        <v>Reserved GPUs 2027</v>
      </c>
      <c r="B45" s="62" t="str">
        <f aca="false">Assumptions!B189</f>
        <v>GPUs</v>
      </c>
      <c r="C45" s="70" t="n">
        <f aca="false">Assumptions!C189</f>
        <v>20</v>
      </c>
      <c r="D45" s="70" t="n">
        <f aca="false">Assumptions!D189</f>
        <v>18</v>
      </c>
      <c r="E45" s="70" t="n">
        <f aca="false">Assumptions!E189</f>
        <v>22</v>
      </c>
      <c r="F45" s="97" t="n">
        <f aca="false">Assumptions!F189</f>
        <v>20</v>
      </c>
    </row>
    <row r="46" customFormat="false" ht="15" hidden="false" customHeight="false" outlineLevel="0" collapsed="false">
      <c r="A46" s="0" t="str">
        <f aca="false">Assumptions!A190</f>
        <v>Provider A spend commitment 2027</v>
      </c>
      <c r="B46" s="62" t="str">
        <f aca="false">Assumptions!B190</f>
        <v>USD</v>
      </c>
      <c r="C46" s="65" t="n">
        <f aca="false">Assumptions!C190</f>
        <v>800000</v>
      </c>
      <c r="D46" s="65" t="n">
        <f aca="false">Assumptions!D190</f>
        <v>700000</v>
      </c>
      <c r="E46" s="65" t="n">
        <f aca="false">Assumptions!E190</f>
        <v>850000</v>
      </c>
      <c r="F46" s="87" t="n">
        <f aca="false">Assumptions!F190</f>
        <v>800000</v>
      </c>
    </row>
    <row r="47" customFormat="false" ht="15" hidden="false" customHeight="false" outlineLevel="0" collapsed="false">
      <c r="A47" s="0" t="str">
        <f aca="false">Assumptions!A191</f>
        <v>USD per EUR, forecast</v>
      </c>
      <c r="B47" s="62" t="str">
        <f aca="false">Assumptions!B191</f>
        <v>rate</v>
      </c>
      <c r="C47" s="99" t="n">
        <f aca="false">Assumptions!C191</f>
        <v>1.1463</v>
      </c>
      <c r="D47" s="99" t="n">
        <f aca="false">Assumptions!D191</f>
        <v>1.08</v>
      </c>
      <c r="E47" s="99" t="n">
        <f aca="false">Assumptions!E191</f>
        <v>1.18</v>
      </c>
      <c r="F47" s="100" t="n">
        <f aca="false">Assumptions!F191</f>
        <v>1.1463</v>
      </c>
    </row>
    <row r="48" customFormat="false" ht="15" hidden="false" customHeight="false" outlineLevel="0" collapsed="false">
      <c r="A48" s="0" t="str">
        <f aca="false">Assumptions!A192</f>
        <v>CIR for FY2026: month refunded</v>
      </c>
      <c r="B48" s="62" t="str">
        <f aca="false">Assumptions!B192</f>
        <v>month</v>
      </c>
      <c r="C48" s="101" t="n">
        <f aca="false">Assumptions!C192</f>
        <v>46660</v>
      </c>
      <c r="D48" s="101" t="n">
        <f aca="false">Assumptions!D192</f>
        <v>46752</v>
      </c>
      <c r="E48" s="101" t="n">
        <f aca="false">Assumptions!E192</f>
        <v>46630</v>
      </c>
      <c r="F48" s="92" t="n">
        <f aca="false">Assumptions!F192</f>
        <v>46660</v>
      </c>
    </row>
    <row r="49" customFormat="false" ht="15" hidden="false" customHeight="false" outlineLevel="0" collapsed="false">
      <c r="A49" s="0" t="str">
        <f aca="false">Assumptions!A193</f>
        <v>Pay review January 2027</v>
      </c>
      <c r="B49" s="62" t="str">
        <f aca="false">Assumptions!B193</f>
        <v>rate</v>
      </c>
      <c r="C49" s="63" t="n">
        <f aca="false">Assumptions!C193</f>
        <v>0.03</v>
      </c>
      <c r="D49" s="63" t="n">
        <f aca="false">Assumptions!D193</f>
        <v>0.02</v>
      </c>
      <c r="E49" s="63" t="n">
        <f aca="false">Assumptions!E193</f>
        <v>0.035</v>
      </c>
      <c r="F49" s="89" t="n">
        <f aca="false">Assumptions!F193</f>
        <v>0.03</v>
      </c>
    </row>
    <row r="50" customFormat="false" ht="15" hidden="false" customHeight="false" outlineLevel="0" collapsed="false">
      <c r="A50" s="0" t="str">
        <f aca="false">Assumptions!A194</f>
        <v>Planned hires made (share of the hiring plan on People)</v>
      </c>
      <c r="B50" s="62" t="str">
        <f aca="false">Assumptions!B194</f>
        <v>share</v>
      </c>
      <c r="C50" s="63" t="n">
        <f aca="false">Assumptions!C194</f>
        <v>1</v>
      </c>
      <c r="D50" s="63" t="n">
        <f aca="false">Assumptions!D194</f>
        <v>0.5</v>
      </c>
      <c r="E50" s="63" t="n">
        <f aca="false">Assumptions!E194</f>
        <v>1</v>
      </c>
      <c r="F50" s="89" t="n">
        <f aca="false">Assumptions!F194</f>
        <v>1</v>
      </c>
    </row>
    <row r="51" customFormat="false" ht="15" hidden="false" customHeight="false" outlineLevel="0" collapsed="false">
      <c r="A51" s="0" t="str">
        <f aca="false">Assumptions!A195</f>
        <v>Leavers replaced (share)</v>
      </c>
      <c r="B51" s="62" t="str">
        <f aca="false">Assumptions!B195</f>
        <v>share</v>
      </c>
      <c r="C51" s="63" t="n">
        <f aca="false">Assumptions!C195</f>
        <v>1</v>
      </c>
      <c r="D51" s="63" t="n">
        <f aca="false">Assumptions!D195</f>
        <v>0.5</v>
      </c>
      <c r="E51" s="63" t="n">
        <f aca="false">Assumptions!E195</f>
        <v>1</v>
      </c>
      <c r="F51" s="89" t="n">
        <f aca="false">Assumptions!F195</f>
        <v>1</v>
      </c>
    </row>
    <row r="52" customFormat="false" ht="15" hidden="false" customHeight="false" outlineLevel="0" collapsed="false">
      <c r="A52" s="0" t="str">
        <f aca="false">Assumptions!A196</f>
        <v>Attrition (x base rates)</v>
      </c>
      <c r="B52" s="62" t="str">
        <f aca="false">Assumptions!B196</f>
        <v>x</v>
      </c>
      <c r="C52" s="95" t="n">
        <f aca="false">Assumptions!C196</f>
        <v>1</v>
      </c>
      <c r="D52" s="95" t="n">
        <f aca="false">Assumptions!D196</f>
        <v>0.7</v>
      </c>
      <c r="E52" s="95" t="n">
        <f aca="false">Assumptions!E196</f>
        <v>1</v>
      </c>
      <c r="F52" s="96" t="n">
        <f aca="false">Assumptions!F196</f>
        <v>1</v>
      </c>
    </row>
    <row r="53" customFormat="false" ht="15" hidden="false" customHeight="false" outlineLevel="0" collapsed="false">
      <c r="A53" s="0" t="str">
        <f aca="false">Assumptions!A197</f>
        <v>Marketing programmes FY2027 (x FY2026 run-rate)</v>
      </c>
      <c r="B53" s="62" t="str">
        <f aca="false">Assumptions!B197</f>
        <v>x</v>
      </c>
      <c r="C53" s="95" t="n">
        <f aca="false">Assumptions!C197</f>
        <v>1</v>
      </c>
      <c r="D53" s="95" t="n">
        <f aca="false">Assumptions!D197</f>
        <v>0.8</v>
      </c>
      <c r="E53" s="95" t="n">
        <f aca="false">Assumptions!E197</f>
        <v>1.1</v>
      </c>
      <c r="F53" s="96" t="n">
        <f aca="false">Assumptions!F197</f>
        <v>1</v>
      </c>
    </row>
    <row r="54" customFormat="false" ht="15" hidden="false" customHeight="false" outlineLevel="0" collapsed="false">
      <c r="A54" s="0" t="str">
        <f aca="false">Assumptions!A198</f>
        <v>Enterprise: extra days to collect</v>
      </c>
      <c r="B54" s="62" t="str">
        <f aca="false">Assumptions!B198</f>
        <v>days</v>
      </c>
      <c r="C54" s="70" t="n">
        <f aca="false">Assumptions!C198</f>
        <v>0</v>
      </c>
      <c r="D54" s="70" t="n">
        <f aca="false">Assumptions!D198</f>
        <v>15</v>
      </c>
      <c r="E54" s="70" t="n">
        <f aca="false">Assumptions!E198</f>
        <v>0</v>
      </c>
      <c r="F54" s="97" t="n">
        <f aca="false">Assumptions!F198</f>
        <v>0</v>
      </c>
    </row>
    <row r="55" customFormat="false" ht="15" hidden="false" customHeight="false" outlineLevel="0" collapsed="false">
      <c r="A55" s="0" t="str">
        <f aca="false">Assumptions!A199</f>
        <v>Disputed Tervane invoice: share credited</v>
      </c>
      <c r="B55" s="62" t="str">
        <f aca="false">Assumptions!B199</f>
        <v>share</v>
      </c>
      <c r="C55" s="63" t="n">
        <f aca="false">Assumptions!C199</f>
        <v>0.3</v>
      </c>
      <c r="D55" s="63" t="n">
        <f aca="false">Assumptions!D199</f>
        <v>0.6</v>
      </c>
      <c r="E55" s="63" t="n">
        <f aca="false">Assumptions!E199</f>
        <v>0.1</v>
      </c>
      <c r="F55" s="89" t="n">
        <f aca="false">Assumptions!F199</f>
        <v>0.3</v>
      </c>
    </row>
    <row r="56" customFormat="false" ht="15" hidden="false" customHeight="false" outlineLevel="0" collapsed="false">
      <c r="A56" s="0" t="str">
        <f aca="false">Assumptions!A200</f>
        <v>Disputed Tervane invoice: month settled</v>
      </c>
      <c r="B56" s="62" t="str">
        <f aca="false">Assumptions!B200</f>
        <v>month</v>
      </c>
      <c r="C56" s="101" t="n">
        <f aca="false">Assumptions!C200</f>
        <v>46326</v>
      </c>
      <c r="D56" s="101" t="n">
        <f aca="false">Assumptions!D200</f>
        <v>46387</v>
      </c>
      <c r="E56" s="101" t="n">
        <f aca="false">Assumptions!E200</f>
        <v>46326</v>
      </c>
      <c r="F56" s="92" t="n">
        <f aca="false">Assumptions!F200</f>
        <v>46326</v>
      </c>
    </row>
    <row r="58" customFormat="false" ht="15" hidden="false" customHeight="false" outlineLevel="0" collapsed="false">
      <c r="A58" s="25" t="s">
        <v>644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7"/>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645</v>
      </c>
    </row>
    <row r="3" customFormat="false" ht="15" hidden="false" customHeight="false" outlineLevel="0" collapsed="false">
      <c r="A3" s="25" t="s">
        <v>646</v>
      </c>
    </row>
    <row r="5" customFormat="false" ht="54" hidden="false" customHeight="true" outlineLevel="0" collapsed="false">
      <c r="A5" s="26" t="s">
        <v>341</v>
      </c>
      <c r="B5" s="27" t="s">
        <v>647</v>
      </c>
      <c r="C5" s="27" t="s">
        <v>648</v>
      </c>
      <c r="D5" s="27" t="s">
        <v>649</v>
      </c>
      <c r="E5" s="27" t="s">
        <v>650</v>
      </c>
      <c r="F5" s="27" t="s">
        <v>651</v>
      </c>
      <c r="G5" s="27" t="s">
        <v>652</v>
      </c>
      <c r="H5" s="27" t="s">
        <v>653</v>
      </c>
      <c r="I5" s="27" t="s">
        <v>654</v>
      </c>
      <c r="J5" s="27" t="s">
        <v>655</v>
      </c>
      <c r="K5" s="27" t="s">
        <v>656</v>
      </c>
      <c r="L5" s="27" t="s">
        <v>657</v>
      </c>
      <c r="M5" s="27" t="s">
        <v>658</v>
      </c>
      <c r="N5" s="27" t="s">
        <v>659</v>
      </c>
      <c r="O5" s="27" t="s">
        <v>660</v>
      </c>
      <c r="P5" s="27" t="s">
        <v>661</v>
      </c>
      <c r="Q5" s="27" t="s">
        <v>662</v>
      </c>
      <c r="R5" s="27" t="s">
        <v>663</v>
      </c>
      <c r="S5" s="27" t="s">
        <v>664</v>
      </c>
      <c r="T5" s="27" t="s">
        <v>665</v>
      </c>
      <c r="U5" s="27" t="s">
        <v>666</v>
      </c>
      <c r="V5" s="27" t="s">
        <v>667</v>
      </c>
      <c r="W5" s="27" t="s">
        <v>668</v>
      </c>
    </row>
    <row r="6" customFormat="false" ht="15" hidden="false" customHeight="false" outlineLevel="0" collapsed="false">
      <c r="A6" s="0" t="s">
        <v>669</v>
      </c>
      <c r="H6" s="102" t="n">
        <v>46283</v>
      </c>
      <c r="I6" s="103" t="n">
        <f aca="false">H6+7</f>
        <v>46290</v>
      </c>
      <c r="J6" s="103" t="n">
        <f aca="false">I6+7</f>
        <v>46297</v>
      </c>
      <c r="K6" s="103" t="n">
        <f aca="false">J6+7</f>
        <v>46304</v>
      </c>
      <c r="L6" s="103" t="n">
        <f aca="false">K6+7</f>
        <v>46311</v>
      </c>
      <c r="M6" s="103" t="n">
        <f aca="false">L6+7</f>
        <v>46318</v>
      </c>
      <c r="N6" s="103" t="n">
        <f aca="false">M6+7</f>
        <v>46325</v>
      </c>
      <c r="O6" s="103" t="n">
        <f aca="false">N6+7</f>
        <v>46332</v>
      </c>
      <c r="P6" s="103" t="n">
        <f aca="false">O6+7</f>
        <v>46339</v>
      </c>
      <c r="Q6" s="103" t="n">
        <f aca="false">P6+7</f>
        <v>46346</v>
      </c>
      <c r="R6" s="103" t="n">
        <f aca="false">Q6+7</f>
        <v>46353</v>
      </c>
      <c r="S6" s="103" t="n">
        <f aca="false">R6+7</f>
        <v>46360</v>
      </c>
      <c r="T6" s="103" t="n">
        <f aca="false">S6+7</f>
        <v>46367</v>
      </c>
    </row>
    <row r="7" customFormat="false" ht="15" hidden="false" customHeight="false" outlineLevel="0" collapsed="false">
      <c r="A7" s="0" t="s">
        <v>670</v>
      </c>
      <c r="B7" s="62" t="s">
        <v>671</v>
      </c>
      <c r="C7" s="104" t="n">
        <v>46276</v>
      </c>
      <c r="H7" s="104" t="n">
        <f aca="false">H6-6</f>
        <v>46277</v>
      </c>
      <c r="I7" s="104" t="n">
        <f aca="false">I6-6</f>
        <v>46284</v>
      </c>
      <c r="J7" s="104" t="n">
        <f aca="false">J6-6</f>
        <v>46291</v>
      </c>
      <c r="K7" s="104" t="n">
        <f aca="false">K6-6</f>
        <v>46298</v>
      </c>
      <c r="L7" s="104" t="n">
        <f aca="false">L6-6</f>
        <v>46305</v>
      </c>
      <c r="M7" s="104" t="n">
        <f aca="false">M6-6</f>
        <v>46312</v>
      </c>
      <c r="N7" s="104" t="n">
        <f aca="false">N6-6</f>
        <v>46319</v>
      </c>
      <c r="O7" s="104" t="n">
        <f aca="false">O6-6</f>
        <v>46326</v>
      </c>
      <c r="P7" s="104" t="n">
        <f aca="false">P6-6</f>
        <v>46333</v>
      </c>
      <c r="Q7" s="104" t="n">
        <f aca="false">Q6-6</f>
        <v>46340</v>
      </c>
      <c r="R7" s="104" t="n">
        <f aca="false">R6-6</f>
        <v>46347</v>
      </c>
      <c r="S7" s="104" t="n">
        <f aca="false">S6-6</f>
        <v>46354</v>
      </c>
      <c r="T7" s="104" t="n">
        <f aca="false">T6-6</f>
        <v>46361</v>
      </c>
    </row>
    <row r="8" customFormat="false" ht="15" hidden="false" customHeight="false" outlineLevel="0" collapsed="false">
      <c r="A8" s="0" t="s">
        <v>672</v>
      </c>
      <c r="H8" s="105" t="n">
        <f aca="false">EOMONTH(H6,0)</f>
        <v>46295</v>
      </c>
      <c r="I8" s="105" t="n">
        <f aca="false">EOMONTH(I6,0)</f>
        <v>46295</v>
      </c>
      <c r="J8" s="105" t="n">
        <f aca="false">EOMONTH(J6,0)</f>
        <v>46326</v>
      </c>
      <c r="K8" s="105" t="n">
        <f aca="false">EOMONTH(K6,0)</f>
        <v>46326</v>
      </c>
      <c r="L8" s="105" t="n">
        <f aca="false">EOMONTH(L6,0)</f>
        <v>46326</v>
      </c>
      <c r="M8" s="105" t="n">
        <f aca="false">EOMONTH(M6,0)</f>
        <v>46326</v>
      </c>
      <c r="N8" s="105" t="n">
        <f aca="false">EOMONTH(N6,0)</f>
        <v>46326</v>
      </c>
      <c r="O8" s="105" t="n">
        <f aca="false">EOMONTH(O6,0)</f>
        <v>46356</v>
      </c>
      <c r="P8" s="105" t="n">
        <f aca="false">EOMONTH(P6,0)</f>
        <v>46356</v>
      </c>
      <c r="Q8" s="105" t="n">
        <f aca="false">EOMONTH(Q6,0)</f>
        <v>46356</v>
      </c>
      <c r="R8" s="105" t="n">
        <f aca="false">EOMONTH(R6,0)</f>
        <v>46356</v>
      </c>
      <c r="S8" s="105" t="n">
        <f aca="false">EOMONTH(S6,0)</f>
        <v>46387</v>
      </c>
      <c r="T8" s="105" t="n">
        <f aca="false">EOMONTH(T6,0)</f>
        <v>46387</v>
      </c>
    </row>
    <row r="10" customFormat="false" ht="15" hidden="false" customHeight="false" outlineLevel="0" collapsed="false">
      <c r="A10" s="22" t="s">
        <v>673</v>
      </c>
      <c r="B10" s="23"/>
      <c r="C10" s="23"/>
      <c r="D10" s="23"/>
      <c r="E10" s="23"/>
      <c r="F10" s="23"/>
      <c r="G10" s="23"/>
      <c r="H10" s="23"/>
      <c r="I10" s="23"/>
      <c r="J10" s="23"/>
      <c r="K10" s="23"/>
      <c r="L10" s="23"/>
      <c r="M10" s="23"/>
      <c r="N10" s="23"/>
      <c r="O10" s="23"/>
      <c r="P10" s="23"/>
      <c r="Q10" s="23"/>
      <c r="R10" s="23"/>
      <c r="S10" s="23"/>
      <c r="T10" s="23"/>
      <c r="U10" s="23"/>
      <c r="V10" s="23"/>
      <c r="W10" s="23"/>
    </row>
    <row r="11" customFormat="false" ht="15" hidden="false" customHeight="false" outlineLevel="1" collapsed="false">
      <c r="A11" s="14" t="s">
        <v>674</v>
      </c>
      <c r="H11" s="106" t="n">
        <f aca="false">MAX(0,MIN(H$6,Assumptions!M$203)-MAX(H$7,DATE(2026,9,1),$C$7+1)+1)/(Assumptions!M$203-$C$7)</f>
        <v>0.368421052631579</v>
      </c>
      <c r="I11" s="106" t="n">
        <f aca="false">MAX(0,MIN(I$6,Assumptions!M$203)-MAX(I$7,DATE(2026,9,1),$C$7+1)+1)/(Assumptions!M$203-$C$7)</f>
        <v>0.368421052631579</v>
      </c>
      <c r="J11" s="106" t="n">
        <f aca="false">MAX(0,MIN(J$6,Assumptions!M$203)-MAX(J$7,DATE(2026,9,1),$C$7+1)+1)/(Assumptions!M$203-$C$7)</f>
        <v>0.263157894736842</v>
      </c>
      <c r="K11" s="106" t="n">
        <f aca="false">MAX(0,MIN(K$6,Assumptions!M$203)-MAX(K$7,DATE(2026,9,1),$C$7+1)+1)/(Assumptions!M$203-$C$7)</f>
        <v>0</v>
      </c>
      <c r="L11" s="106" t="n">
        <f aca="false">MAX(0,MIN(L$6,Assumptions!M$203)-MAX(L$7,DATE(2026,9,1),$C$7+1)+1)/(Assumptions!M$203-$C$7)</f>
        <v>0</v>
      </c>
      <c r="M11" s="106" t="n">
        <f aca="false">MAX(0,MIN(M$6,Assumptions!M$203)-MAX(M$7,DATE(2026,9,1),$C$7+1)+1)/(Assumptions!M$203-$C$7)</f>
        <v>0</v>
      </c>
      <c r="N11" s="106" t="n">
        <f aca="false">MAX(0,MIN(N$6,Assumptions!M$203)-MAX(N$7,DATE(2026,9,1),$C$7+1)+1)/(Assumptions!M$203-$C$7)</f>
        <v>0</v>
      </c>
      <c r="O11" s="106" t="n">
        <f aca="false">MAX(0,MIN(O$6,Assumptions!M$203)-MAX(O$7,DATE(2026,9,1),$C$7+1)+1)/(Assumptions!M$203-$C$7)</f>
        <v>0</v>
      </c>
      <c r="P11" s="106" t="n">
        <f aca="false">MAX(0,MIN(P$6,Assumptions!M$203)-MAX(P$7,DATE(2026,9,1),$C$7+1)+1)/(Assumptions!M$203-$C$7)</f>
        <v>0</v>
      </c>
      <c r="Q11" s="106" t="n">
        <f aca="false">MAX(0,MIN(Q$6,Assumptions!M$203)-MAX(Q$7,DATE(2026,9,1),$C$7+1)+1)/(Assumptions!M$203-$C$7)</f>
        <v>0</v>
      </c>
      <c r="R11" s="106" t="n">
        <f aca="false">MAX(0,MIN(R$6,Assumptions!M$203)-MAX(R$7,DATE(2026,9,1),$C$7+1)+1)/(Assumptions!M$203-$C$7)</f>
        <v>0</v>
      </c>
      <c r="S11" s="106" t="n">
        <f aca="false">MAX(0,MIN(S$6,Assumptions!M$203)-MAX(S$7,DATE(2026,9,1),$C$7+1)+1)/(Assumptions!M$203-$C$7)</f>
        <v>0</v>
      </c>
      <c r="T11" s="106" t="n">
        <f aca="false">MAX(0,MIN(T$6,Assumptions!M$203)-MAX(T$7,DATE(2026,9,1),$C$7+1)+1)/(Assumptions!M$203-$C$7)</f>
        <v>0</v>
      </c>
      <c r="U11" s="106" t="n">
        <f aca="false">SUM(H11:T11)</f>
        <v>1</v>
      </c>
    </row>
    <row r="12" customFormat="false" ht="15" hidden="false" customHeight="false" outlineLevel="1" collapsed="false">
      <c r="A12" s="14" t="s">
        <v>675</v>
      </c>
      <c r="H12" s="106" t="n">
        <f aca="false">MAX(0,MIN(H$6,Assumptions!N$203)-MAX(H$7,DATE(2026,10,1),$C$7+1)+1)/DAY(Assumptions!N$203)</f>
        <v>0</v>
      </c>
      <c r="I12" s="106" t="n">
        <f aca="false">MAX(0,MIN(I$6,Assumptions!N$203)-MAX(I$7,DATE(2026,10,1),$C$7+1)+1)/DAY(Assumptions!N$203)</f>
        <v>0</v>
      </c>
      <c r="J12" s="106" t="n">
        <f aca="false">MAX(0,MIN(J$6,Assumptions!N$203)-MAX(J$7,DATE(2026,10,1),$C$7+1)+1)/DAY(Assumptions!N$203)</f>
        <v>0.0645161290322581</v>
      </c>
      <c r="K12" s="106" t="n">
        <f aca="false">MAX(0,MIN(K$6,Assumptions!N$203)-MAX(K$7,DATE(2026,10,1),$C$7+1)+1)/DAY(Assumptions!N$203)</f>
        <v>0.225806451612903</v>
      </c>
      <c r="L12" s="106" t="n">
        <f aca="false">MAX(0,MIN(L$6,Assumptions!N$203)-MAX(L$7,DATE(2026,10,1),$C$7+1)+1)/DAY(Assumptions!N$203)</f>
        <v>0.225806451612903</v>
      </c>
      <c r="M12" s="106" t="n">
        <f aca="false">MAX(0,MIN(M$6,Assumptions!N$203)-MAX(M$7,DATE(2026,10,1),$C$7+1)+1)/DAY(Assumptions!N$203)</f>
        <v>0.225806451612903</v>
      </c>
      <c r="N12" s="106" t="n">
        <f aca="false">MAX(0,MIN(N$6,Assumptions!N$203)-MAX(N$7,DATE(2026,10,1),$C$7+1)+1)/DAY(Assumptions!N$203)</f>
        <v>0.225806451612903</v>
      </c>
      <c r="O12" s="106" t="n">
        <f aca="false">MAX(0,MIN(O$6,Assumptions!N$203)-MAX(O$7,DATE(2026,10,1),$C$7+1)+1)/DAY(Assumptions!N$203)</f>
        <v>0.032258064516129</v>
      </c>
      <c r="P12" s="106" t="n">
        <f aca="false">MAX(0,MIN(P$6,Assumptions!N$203)-MAX(P$7,DATE(2026,10,1),$C$7+1)+1)/DAY(Assumptions!N$203)</f>
        <v>0</v>
      </c>
      <c r="Q12" s="106" t="n">
        <f aca="false">MAX(0,MIN(Q$6,Assumptions!N$203)-MAX(Q$7,DATE(2026,10,1),$C$7+1)+1)/DAY(Assumptions!N$203)</f>
        <v>0</v>
      </c>
      <c r="R12" s="106" t="n">
        <f aca="false">MAX(0,MIN(R$6,Assumptions!N$203)-MAX(R$7,DATE(2026,10,1),$C$7+1)+1)/DAY(Assumptions!N$203)</f>
        <v>0</v>
      </c>
      <c r="S12" s="106" t="n">
        <f aca="false">MAX(0,MIN(S$6,Assumptions!N$203)-MAX(S$7,DATE(2026,10,1),$C$7+1)+1)/DAY(Assumptions!N$203)</f>
        <v>0</v>
      </c>
      <c r="T12" s="106" t="n">
        <f aca="false">MAX(0,MIN(T$6,Assumptions!N$203)-MAX(T$7,DATE(2026,10,1),$C$7+1)+1)/DAY(Assumptions!N$203)</f>
        <v>0</v>
      </c>
      <c r="U12" s="106" t="n">
        <f aca="false">SUM(H12:T12)</f>
        <v>1</v>
      </c>
    </row>
    <row r="13" customFormat="false" ht="15" hidden="false" customHeight="false" outlineLevel="1" collapsed="false">
      <c r="A13" s="14" t="s">
        <v>676</v>
      </c>
      <c r="H13" s="106" t="n">
        <f aca="false">MAX(0,MIN(H$6,Assumptions!O$203)-MAX(H$7,DATE(2026,11,1),$C$7+1)+1)/DAY(Assumptions!O$203)</f>
        <v>0</v>
      </c>
      <c r="I13" s="106" t="n">
        <f aca="false">MAX(0,MIN(I$6,Assumptions!O$203)-MAX(I$7,DATE(2026,11,1),$C$7+1)+1)/DAY(Assumptions!O$203)</f>
        <v>0</v>
      </c>
      <c r="J13" s="106" t="n">
        <f aca="false">MAX(0,MIN(J$6,Assumptions!O$203)-MAX(J$7,DATE(2026,11,1),$C$7+1)+1)/DAY(Assumptions!O$203)</f>
        <v>0</v>
      </c>
      <c r="K13" s="106" t="n">
        <f aca="false">MAX(0,MIN(K$6,Assumptions!O$203)-MAX(K$7,DATE(2026,11,1),$C$7+1)+1)/DAY(Assumptions!O$203)</f>
        <v>0</v>
      </c>
      <c r="L13" s="106" t="n">
        <f aca="false">MAX(0,MIN(L$6,Assumptions!O$203)-MAX(L$7,DATE(2026,11,1),$C$7+1)+1)/DAY(Assumptions!O$203)</f>
        <v>0</v>
      </c>
      <c r="M13" s="106" t="n">
        <f aca="false">MAX(0,MIN(M$6,Assumptions!O$203)-MAX(M$7,DATE(2026,11,1),$C$7+1)+1)/DAY(Assumptions!O$203)</f>
        <v>0</v>
      </c>
      <c r="N13" s="106" t="n">
        <f aca="false">MAX(0,MIN(N$6,Assumptions!O$203)-MAX(N$7,DATE(2026,11,1),$C$7+1)+1)/DAY(Assumptions!O$203)</f>
        <v>0</v>
      </c>
      <c r="O13" s="106" t="n">
        <f aca="false">MAX(0,MIN(O$6,Assumptions!O$203)-MAX(O$7,DATE(2026,11,1),$C$7+1)+1)/DAY(Assumptions!O$203)</f>
        <v>0.2</v>
      </c>
      <c r="P13" s="106" t="n">
        <f aca="false">MAX(0,MIN(P$6,Assumptions!O$203)-MAX(P$7,DATE(2026,11,1),$C$7+1)+1)/DAY(Assumptions!O$203)</f>
        <v>0.233333333333333</v>
      </c>
      <c r="Q13" s="106" t="n">
        <f aca="false">MAX(0,MIN(Q$6,Assumptions!O$203)-MAX(Q$7,DATE(2026,11,1),$C$7+1)+1)/DAY(Assumptions!O$203)</f>
        <v>0.233333333333333</v>
      </c>
      <c r="R13" s="106" t="n">
        <f aca="false">MAX(0,MIN(R$6,Assumptions!O$203)-MAX(R$7,DATE(2026,11,1),$C$7+1)+1)/DAY(Assumptions!O$203)</f>
        <v>0.233333333333333</v>
      </c>
      <c r="S13" s="106" t="n">
        <f aca="false">MAX(0,MIN(S$6,Assumptions!O$203)-MAX(S$7,DATE(2026,11,1),$C$7+1)+1)/DAY(Assumptions!O$203)</f>
        <v>0.1</v>
      </c>
      <c r="T13" s="106" t="n">
        <f aca="false">MAX(0,MIN(T$6,Assumptions!O$203)-MAX(T$7,DATE(2026,11,1),$C$7+1)+1)/DAY(Assumptions!O$203)</f>
        <v>0</v>
      </c>
      <c r="U13" s="106" t="n">
        <f aca="false">SUM(H13:T13)</f>
        <v>1</v>
      </c>
    </row>
    <row r="14" customFormat="false" ht="15" hidden="false" customHeight="false" outlineLevel="1" collapsed="false">
      <c r="A14" s="14" t="s">
        <v>677</v>
      </c>
      <c r="H14" s="106" t="n">
        <f aca="false">MAX(0,MIN(H$6,Assumptions!P$203)-MAX(H$7,DATE(2026,12,1),$C$7+1)+1)/DAY(Assumptions!P$203)</f>
        <v>0</v>
      </c>
      <c r="I14" s="106" t="n">
        <f aca="false">MAX(0,MIN(I$6,Assumptions!P$203)-MAX(I$7,DATE(2026,12,1),$C$7+1)+1)/DAY(Assumptions!P$203)</f>
        <v>0</v>
      </c>
      <c r="J14" s="106" t="n">
        <f aca="false">MAX(0,MIN(J$6,Assumptions!P$203)-MAX(J$7,DATE(2026,12,1),$C$7+1)+1)/DAY(Assumptions!P$203)</f>
        <v>0</v>
      </c>
      <c r="K14" s="106" t="n">
        <f aca="false">MAX(0,MIN(K$6,Assumptions!P$203)-MAX(K$7,DATE(2026,12,1),$C$7+1)+1)/DAY(Assumptions!P$203)</f>
        <v>0</v>
      </c>
      <c r="L14" s="106" t="n">
        <f aca="false">MAX(0,MIN(L$6,Assumptions!P$203)-MAX(L$7,DATE(2026,12,1),$C$7+1)+1)/DAY(Assumptions!P$203)</f>
        <v>0</v>
      </c>
      <c r="M14" s="106" t="n">
        <f aca="false">MAX(0,MIN(M$6,Assumptions!P$203)-MAX(M$7,DATE(2026,12,1),$C$7+1)+1)/DAY(Assumptions!P$203)</f>
        <v>0</v>
      </c>
      <c r="N14" s="106" t="n">
        <f aca="false">MAX(0,MIN(N$6,Assumptions!P$203)-MAX(N$7,DATE(2026,12,1),$C$7+1)+1)/DAY(Assumptions!P$203)</f>
        <v>0</v>
      </c>
      <c r="O14" s="106" t="n">
        <f aca="false">MAX(0,MIN(O$6,Assumptions!P$203)-MAX(O$7,DATE(2026,12,1),$C$7+1)+1)/DAY(Assumptions!P$203)</f>
        <v>0</v>
      </c>
      <c r="P14" s="106" t="n">
        <f aca="false">MAX(0,MIN(P$6,Assumptions!P$203)-MAX(P$7,DATE(2026,12,1),$C$7+1)+1)/DAY(Assumptions!P$203)</f>
        <v>0</v>
      </c>
      <c r="Q14" s="106" t="n">
        <f aca="false">MAX(0,MIN(Q$6,Assumptions!P$203)-MAX(Q$7,DATE(2026,12,1),$C$7+1)+1)/DAY(Assumptions!P$203)</f>
        <v>0</v>
      </c>
      <c r="R14" s="106" t="n">
        <f aca="false">MAX(0,MIN(R$6,Assumptions!P$203)-MAX(R$7,DATE(2026,12,1),$C$7+1)+1)/DAY(Assumptions!P$203)</f>
        <v>0</v>
      </c>
      <c r="S14" s="106" t="n">
        <f aca="false">MAX(0,MIN(S$6,Assumptions!P$203)-MAX(S$7,DATE(2026,12,1),$C$7+1)+1)/DAY(Assumptions!P$203)</f>
        <v>0.129032258064516</v>
      </c>
      <c r="T14" s="106" t="n">
        <f aca="false">MAX(0,MIN(T$6,Assumptions!P$203)-MAX(T$7,DATE(2026,12,1),$C$7+1)+1)/DAY(Assumptions!P$203)</f>
        <v>0.225806451612903</v>
      </c>
      <c r="U14" s="106" t="n">
        <f aca="false">SUM(H14:T14)</f>
        <v>0.354838709677419</v>
      </c>
    </row>
    <row r="15" customFormat="false" ht="15" hidden="false" customHeight="false" outlineLevel="1" collapsed="false">
      <c r="A15" s="14" t="s">
        <v>678</v>
      </c>
      <c r="H15" s="106" t="n">
        <f aca="false">IF(AND(DATE(2026,9,10)&gt;=H$7,DATE(2026,9,10)&lt;=H$6,DATE(2026,9,10)&gt;$C$7),1,0)</f>
        <v>0</v>
      </c>
      <c r="I15" s="106" t="n">
        <f aca="false">IF(AND(DATE(2026,9,10)&gt;=I$7,DATE(2026,9,10)&lt;=I$6,DATE(2026,9,10)&gt;$C$7),1,0)</f>
        <v>0</v>
      </c>
      <c r="J15" s="106" t="n">
        <f aca="false">IF(AND(DATE(2026,9,10)&gt;=J$7,DATE(2026,9,10)&lt;=J$6,DATE(2026,9,10)&gt;$C$7),1,0)</f>
        <v>0</v>
      </c>
      <c r="K15" s="106" t="n">
        <f aca="false">IF(AND(DATE(2026,9,10)&gt;=K$7,DATE(2026,9,10)&lt;=K$6,DATE(2026,9,10)&gt;$C$7),1,0)</f>
        <v>0</v>
      </c>
      <c r="L15" s="106" t="n">
        <f aca="false">IF(AND(DATE(2026,9,10)&gt;=L$7,DATE(2026,9,10)&lt;=L$6,DATE(2026,9,10)&gt;$C$7),1,0)</f>
        <v>0</v>
      </c>
      <c r="M15" s="106" t="n">
        <f aca="false">IF(AND(DATE(2026,9,10)&gt;=M$7,DATE(2026,9,10)&lt;=M$6,DATE(2026,9,10)&gt;$C$7),1,0)</f>
        <v>0</v>
      </c>
      <c r="N15" s="106" t="n">
        <f aca="false">IF(AND(DATE(2026,9,10)&gt;=N$7,DATE(2026,9,10)&lt;=N$6,DATE(2026,9,10)&gt;$C$7),1,0)</f>
        <v>0</v>
      </c>
      <c r="O15" s="106" t="n">
        <f aca="false">IF(AND(DATE(2026,9,10)&gt;=O$7,DATE(2026,9,10)&lt;=O$6,DATE(2026,9,10)&gt;$C$7),1,0)</f>
        <v>0</v>
      </c>
      <c r="P15" s="106" t="n">
        <f aca="false">IF(AND(DATE(2026,9,10)&gt;=P$7,DATE(2026,9,10)&lt;=P$6,DATE(2026,9,10)&gt;$C$7),1,0)</f>
        <v>0</v>
      </c>
      <c r="Q15" s="106" t="n">
        <f aca="false">IF(AND(DATE(2026,9,10)&gt;=Q$7,DATE(2026,9,10)&lt;=Q$6,DATE(2026,9,10)&gt;$C$7),1,0)</f>
        <v>0</v>
      </c>
      <c r="R15" s="106" t="n">
        <f aca="false">IF(AND(DATE(2026,9,10)&gt;=R$7,DATE(2026,9,10)&lt;=R$6,DATE(2026,9,10)&gt;$C$7),1,0)</f>
        <v>0</v>
      </c>
      <c r="S15" s="106" t="n">
        <f aca="false">IF(AND(DATE(2026,9,10)&gt;=S$7,DATE(2026,9,10)&lt;=S$6,DATE(2026,9,10)&gt;$C$7),1,0)</f>
        <v>0</v>
      </c>
      <c r="T15" s="106" t="n">
        <f aca="false">IF(AND(DATE(2026,9,10)&gt;=T$7,DATE(2026,9,10)&lt;=T$6,DATE(2026,9,10)&gt;$C$7),1,0)</f>
        <v>0</v>
      </c>
      <c r="U15" s="106" t="n">
        <f aca="false">SUM(H15:T15)</f>
        <v>0</v>
      </c>
    </row>
    <row r="16" customFormat="false" ht="15" hidden="false" customHeight="false" outlineLevel="1" collapsed="false">
      <c r="A16" s="14" t="s">
        <v>679</v>
      </c>
      <c r="H16" s="106" t="n">
        <f aca="false">IF(AND(DATE(2026,10,10)&gt;=H$7,DATE(2026,10,10)&lt;=H$6,DATE(2026,10,10)&gt;$C$7),1,0)</f>
        <v>0</v>
      </c>
      <c r="I16" s="106" t="n">
        <f aca="false">IF(AND(DATE(2026,10,10)&gt;=I$7,DATE(2026,10,10)&lt;=I$6,DATE(2026,10,10)&gt;$C$7),1,0)</f>
        <v>0</v>
      </c>
      <c r="J16" s="106" t="n">
        <f aca="false">IF(AND(DATE(2026,10,10)&gt;=J$7,DATE(2026,10,10)&lt;=J$6,DATE(2026,10,10)&gt;$C$7),1,0)</f>
        <v>0</v>
      </c>
      <c r="K16" s="106" t="n">
        <f aca="false">IF(AND(DATE(2026,10,10)&gt;=K$7,DATE(2026,10,10)&lt;=K$6,DATE(2026,10,10)&gt;$C$7),1,0)</f>
        <v>0</v>
      </c>
      <c r="L16" s="106" t="n">
        <f aca="false">IF(AND(DATE(2026,10,10)&gt;=L$7,DATE(2026,10,10)&lt;=L$6,DATE(2026,10,10)&gt;$C$7),1,0)</f>
        <v>1</v>
      </c>
      <c r="M16" s="106" t="n">
        <f aca="false">IF(AND(DATE(2026,10,10)&gt;=M$7,DATE(2026,10,10)&lt;=M$6,DATE(2026,10,10)&gt;$C$7),1,0)</f>
        <v>0</v>
      </c>
      <c r="N16" s="106" t="n">
        <f aca="false">IF(AND(DATE(2026,10,10)&gt;=N$7,DATE(2026,10,10)&lt;=N$6,DATE(2026,10,10)&gt;$C$7),1,0)</f>
        <v>0</v>
      </c>
      <c r="O16" s="106" t="n">
        <f aca="false">IF(AND(DATE(2026,10,10)&gt;=O$7,DATE(2026,10,10)&lt;=O$6,DATE(2026,10,10)&gt;$C$7),1,0)</f>
        <v>0</v>
      </c>
      <c r="P16" s="106" t="n">
        <f aca="false">IF(AND(DATE(2026,10,10)&gt;=P$7,DATE(2026,10,10)&lt;=P$6,DATE(2026,10,10)&gt;$C$7),1,0)</f>
        <v>0</v>
      </c>
      <c r="Q16" s="106" t="n">
        <f aca="false">IF(AND(DATE(2026,10,10)&gt;=Q$7,DATE(2026,10,10)&lt;=Q$6,DATE(2026,10,10)&gt;$C$7),1,0)</f>
        <v>0</v>
      </c>
      <c r="R16" s="106" t="n">
        <f aca="false">IF(AND(DATE(2026,10,10)&gt;=R$7,DATE(2026,10,10)&lt;=R$6,DATE(2026,10,10)&gt;$C$7),1,0)</f>
        <v>0</v>
      </c>
      <c r="S16" s="106" t="n">
        <f aca="false">IF(AND(DATE(2026,10,10)&gt;=S$7,DATE(2026,10,10)&lt;=S$6,DATE(2026,10,10)&gt;$C$7),1,0)</f>
        <v>0</v>
      </c>
      <c r="T16" s="106" t="n">
        <f aca="false">IF(AND(DATE(2026,10,10)&gt;=T$7,DATE(2026,10,10)&lt;=T$6,DATE(2026,10,10)&gt;$C$7),1,0)</f>
        <v>0</v>
      </c>
      <c r="U16" s="106" t="n">
        <f aca="false">SUM(H16:T16)</f>
        <v>1</v>
      </c>
    </row>
    <row r="17" customFormat="false" ht="15" hidden="false" customHeight="false" outlineLevel="1" collapsed="false">
      <c r="A17" s="14" t="s">
        <v>680</v>
      </c>
      <c r="H17" s="106" t="n">
        <f aca="false">IF(AND(DATE(2026,11,10)&gt;=H$7,DATE(2026,11,10)&lt;=H$6,DATE(2026,11,10)&gt;$C$7),1,0)</f>
        <v>0</v>
      </c>
      <c r="I17" s="106" t="n">
        <f aca="false">IF(AND(DATE(2026,11,10)&gt;=I$7,DATE(2026,11,10)&lt;=I$6,DATE(2026,11,10)&gt;$C$7),1,0)</f>
        <v>0</v>
      </c>
      <c r="J17" s="106" t="n">
        <f aca="false">IF(AND(DATE(2026,11,10)&gt;=J$7,DATE(2026,11,10)&lt;=J$6,DATE(2026,11,10)&gt;$C$7),1,0)</f>
        <v>0</v>
      </c>
      <c r="K17" s="106" t="n">
        <f aca="false">IF(AND(DATE(2026,11,10)&gt;=K$7,DATE(2026,11,10)&lt;=K$6,DATE(2026,11,10)&gt;$C$7),1,0)</f>
        <v>0</v>
      </c>
      <c r="L17" s="106" t="n">
        <f aca="false">IF(AND(DATE(2026,11,10)&gt;=L$7,DATE(2026,11,10)&lt;=L$6,DATE(2026,11,10)&gt;$C$7),1,0)</f>
        <v>0</v>
      </c>
      <c r="M17" s="106" t="n">
        <f aca="false">IF(AND(DATE(2026,11,10)&gt;=M$7,DATE(2026,11,10)&lt;=M$6,DATE(2026,11,10)&gt;$C$7),1,0)</f>
        <v>0</v>
      </c>
      <c r="N17" s="106" t="n">
        <f aca="false">IF(AND(DATE(2026,11,10)&gt;=N$7,DATE(2026,11,10)&lt;=N$6,DATE(2026,11,10)&gt;$C$7),1,0)</f>
        <v>0</v>
      </c>
      <c r="O17" s="106" t="n">
        <f aca="false">IF(AND(DATE(2026,11,10)&gt;=O$7,DATE(2026,11,10)&lt;=O$6,DATE(2026,11,10)&gt;$C$7),1,0)</f>
        <v>0</v>
      </c>
      <c r="P17" s="106" t="n">
        <f aca="false">IF(AND(DATE(2026,11,10)&gt;=P$7,DATE(2026,11,10)&lt;=P$6,DATE(2026,11,10)&gt;$C$7),1,0)</f>
        <v>1</v>
      </c>
      <c r="Q17" s="106" t="n">
        <f aca="false">IF(AND(DATE(2026,11,10)&gt;=Q$7,DATE(2026,11,10)&lt;=Q$6,DATE(2026,11,10)&gt;$C$7),1,0)</f>
        <v>0</v>
      </c>
      <c r="R17" s="106" t="n">
        <f aca="false">IF(AND(DATE(2026,11,10)&gt;=R$7,DATE(2026,11,10)&lt;=R$6,DATE(2026,11,10)&gt;$C$7),1,0)</f>
        <v>0</v>
      </c>
      <c r="S17" s="106" t="n">
        <f aca="false">IF(AND(DATE(2026,11,10)&gt;=S$7,DATE(2026,11,10)&lt;=S$6,DATE(2026,11,10)&gt;$C$7),1,0)</f>
        <v>0</v>
      </c>
      <c r="T17" s="106" t="n">
        <f aca="false">IF(AND(DATE(2026,11,10)&gt;=T$7,DATE(2026,11,10)&lt;=T$6,DATE(2026,11,10)&gt;$C$7),1,0)</f>
        <v>0</v>
      </c>
      <c r="U17" s="106" t="n">
        <f aca="false">SUM(H17:T17)</f>
        <v>1</v>
      </c>
    </row>
    <row r="18" customFormat="false" ht="15" hidden="false" customHeight="false" outlineLevel="1" collapsed="false">
      <c r="A18" s="14" t="s">
        <v>681</v>
      </c>
      <c r="H18" s="106" t="n">
        <f aca="false">IF(AND(DATE(2026,12,10)&gt;=H$7,DATE(2026,12,10)&lt;=H$6,DATE(2026,12,10)&gt;$C$7),1,0)</f>
        <v>0</v>
      </c>
      <c r="I18" s="106" t="n">
        <f aca="false">IF(AND(DATE(2026,12,10)&gt;=I$7,DATE(2026,12,10)&lt;=I$6,DATE(2026,12,10)&gt;$C$7),1,0)</f>
        <v>0</v>
      </c>
      <c r="J18" s="106" t="n">
        <f aca="false">IF(AND(DATE(2026,12,10)&gt;=J$7,DATE(2026,12,10)&lt;=J$6,DATE(2026,12,10)&gt;$C$7),1,0)</f>
        <v>0</v>
      </c>
      <c r="K18" s="106" t="n">
        <f aca="false">IF(AND(DATE(2026,12,10)&gt;=K$7,DATE(2026,12,10)&lt;=K$6,DATE(2026,12,10)&gt;$C$7),1,0)</f>
        <v>0</v>
      </c>
      <c r="L18" s="106" t="n">
        <f aca="false">IF(AND(DATE(2026,12,10)&gt;=L$7,DATE(2026,12,10)&lt;=L$6,DATE(2026,12,10)&gt;$C$7),1,0)</f>
        <v>0</v>
      </c>
      <c r="M18" s="106" t="n">
        <f aca="false">IF(AND(DATE(2026,12,10)&gt;=M$7,DATE(2026,12,10)&lt;=M$6,DATE(2026,12,10)&gt;$C$7),1,0)</f>
        <v>0</v>
      </c>
      <c r="N18" s="106" t="n">
        <f aca="false">IF(AND(DATE(2026,12,10)&gt;=N$7,DATE(2026,12,10)&lt;=N$6,DATE(2026,12,10)&gt;$C$7),1,0)</f>
        <v>0</v>
      </c>
      <c r="O18" s="106" t="n">
        <f aca="false">IF(AND(DATE(2026,12,10)&gt;=O$7,DATE(2026,12,10)&lt;=O$6,DATE(2026,12,10)&gt;$C$7),1,0)</f>
        <v>0</v>
      </c>
      <c r="P18" s="106" t="n">
        <f aca="false">IF(AND(DATE(2026,12,10)&gt;=P$7,DATE(2026,12,10)&lt;=P$6,DATE(2026,12,10)&gt;$C$7),1,0)</f>
        <v>0</v>
      </c>
      <c r="Q18" s="106" t="n">
        <f aca="false">IF(AND(DATE(2026,12,10)&gt;=Q$7,DATE(2026,12,10)&lt;=Q$6,DATE(2026,12,10)&gt;$C$7),1,0)</f>
        <v>0</v>
      </c>
      <c r="R18" s="106" t="n">
        <f aca="false">IF(AND(DATE(2026,12,10)&gt;=R$7,DATE(2026,12,10)&lt;=R$6,DATE(2026,12,10)&gt;$C$7),1,0)</f>
        <v>0</v>
      </c>
      <c r="S18" s="106" t="n">
        <f aca="false">IF(AND(DATE(2026,12,10)&gt;=S$7,DATE(2026,12,10)&lt;=S$6,DATE(2026,12,10)&gt;$C$7),1,0)</f>
        <v>0</v>
      </c>
      <c r="T18" s="106" t="n">
        <f aca="false">IF(AND(DATE(2026,12,10)&gt;=T$7,DATE(2026,12,10)&lt;=T$6,DATE(2026,12,10)&gt;$C$7),1,0)</f>
        <v>1</v>
      </c>
      <c r="U18" s="106" t="n">
        <f aca="false">SUM(H18:T18)</f>
        <v>1</v>
      </c>
    </row>
    <row r="19" customFormat="false" ht="15" hidden="false" customHeight="false" outlineLevel="1" collapsed="false">
      <c r="A19" s="14" t="s">
        <v>682</v>
      </c>
      <c r="H19" s="106" t="n">
        <f aca="false">IF(AND(DATE(2026,9,15)&gt;=H$7,DATE(2026,9,15)&lt;=H$6,DATE(2026,9,15)&gt;$C$7),1,0)</f>
        <v>1</v>
      </c>
      <c r="I19" s="106" t="n">
        <f aca="false">IF(AND(DATE(2026,9,15)&gt;=I$7,DATE(2026,9,15)&lt;=I$6,DATE(2026,9,15)&gt;$C$7),1,0)</f>
        <v>0</v>
      </c>
      <c r="J19" s="106" t="n">
        <f aca="false">IF(AND(DATE(2026,9,15)&gt;=J$7,DATE(2026,9,15)&lt;=J$6,DATE(2026,9,15)&gt;$C$7),1,0)</f>
        <v>0</v>
      </c>
      <c r="K19" s="106" t="n">
        <f aca="false">IF(AND(DATE(2026,9,15)&gt;=K$7,DATE(2026,9,15)&lt;=K$6,DATE(2026,9,15)&gt;$C$7),1,0)</f>
        <v>0</v>
      </c>
      <c r="L19" s="106" t="n">
        <f aca="false">IF(AND(DATE(2026,9,15)&gt;=L$7,DATE(2026,9,15)&lt;=L$6,DATE(2026,9,15)&gt;$C$7),1,0)</f>
        <v>0</v>
      </c>
      <c r="M19" s="106" t="n">
        <f aca="false">IF(AND(DATE(2026,9,15)&gt;=M$7,DATE(2026,9,15)&lt;=M$6,DATE(2026,9,15)&gt;$C$7),1,0)</f>
        <v>0</v>
      </c>
      <c r="N19" s="106" t="n">
        <f aca="false">IF(AND(DATE(2026,9,15)&gt;=N$7,DATE(2026,9,15)&lt;=N$6,DATE(2026,9,15)&gt;$C$7),1,0)</f>
        <v>0</v>
      </c>
      <c r="O19" s="106" t="n">
        <f aca="false">IF(AND(DATE(2026,9,15)&gt;=O$7,DATE(2026,9,15)&lt;=O$6,DATE(2026,9,15)&gt;$C$7),1,0)</f>
        <v>0</v>
      </c>
      <c r="P19" s="106" t="n">
        <f aca="false">IF(AND(DATE(2026,9,15)&gt;=P$7,DATE(2026,9,15)&lt;=P$6,DATE(2026,9,15)&gt;$C$7),1,0)</f>
        <v>0</v>
      </c>
      <c r="Q19" s="106" t="n">
        <f aca="false">IF(AND(DATE(2026,9,15)&gt;=Q$7,DATE(2026,9,15)&lt;=Q$6,DATE(2026,9,15)&gt;$C$7),1,0)</f>
        <v>0</v>
      </c>
      <c r="R19" s="106" t="n">
        <f aca="false">IF(AND(DATE(2026,9,15)&gt;=R$7,DATE(2026,9,15)&lt;=R$6,DATE(2026,9,15)&gt;$C$7),1,0)</f>
        <v>0</v>
      </c>
      <c r="S19" s="106" t="n">
        <f aca="false">IF(AND(DATE(2026,9,15)&gt;=S$7,DATE(2026,9,15)&lt;=S$6,DATE(2026,9,15)&gt;$C$7),1,0)</f>
        <v>0</v>
      </c>
      <c r="T19" s="106" t="n">
        <f aca="false">IF(AND(DATE(2026,9,15)&gt;=T$7,DATE(2026,9,15)&lt;=T$6,DATE(2026,9,15)&gt;$C$7),1,0)</f>
        <v>0</v>
      </c>
      <c r="U19" s="106" t="n">
        <f aca="false">SUM(H19:T19)</f>
        <v>1</v>
      </c>
    </row>
    <row r="20" customFormat="false" ht="15" hidden="false" customHeight="false" outlineLevel="1" collapsed="false">
      <c r="A20" s="14" t="s">
        <v>683</v>
      </c>
      <c r="H20" s="106" t="n">
        <f aca="false">IF(AND(DATE(2026,10,15)&gt;=H$7,DATE(2026,10,15)&lt;=H$6,DATE(2026,10,15)&gt;$C$7),1,0)</f>
        <v>0</v>
      </c>
      <c r="I20" s="106" t="n">
        <f aca="false">IF(AND(DATE(2026,10,15)&gt;=I$7,DATE(2026,10,15)&lt;=I$6,DATE(2026,10,15)&gt;$C$7),1,0)</f>
        <v>0</v>
      </c>
      <c r="J20" s="106" t="n">
        <f aca="false">IF(AND(DATE(2026,10,15)&gt;=J$7,DATE(2026,10,15)&lt;=J$6,DATE(2026,10,15)&gt;$C$7),1,0)</f>
        <v>0</v>
      </c>
      <c r="K20" s="106" t="n">
        <f aca="false">IF(AND(DATE(2026,10,15)&gt;=K$7,DATE(2026,10,15)&lt;=K$6,DATE(2026,10,15)&gt;$C$7),1,0)</f>
        <v>0</v>
      </c>
      <c r="L20" s="106" t="n">
        <f aca="false">IF(AND(DATE(2026,10,15)&gt;=L$7,DATE(2026,10,15)&lt;=L$6,DATE(2026,10,15)&gt;$C$7),1,0)</f>
        <v>1</v>
      </c>
      <c r="M20" s="106" t="n">
        <f aca="false">IF(AND(DATE(2026,10,15)&gt;=M$7,DATE(2026,10,15)&lt;=M$6,DATE(2026,10,15)&gt;$C$7),1,0)</f>
        <v>0</v>
      </c>
      <c r="N20" s="106" t="n">
        <f aca="false">IF(AND(DATE(2026,10,15)&gt;=N$7,DATE(2026,10,15)&lt;=N$6,DATE(2026,10,15)&gt;$C$7),1,0)</f>
        <v>0</v>
      </c>
      <c r="O20" s="106" t="n">
        <f aca="false">IF(AND(DATE(2026,10,15)&gt;=O$7,DATE(2026,10,15)&lt;=O$6,DATE(2026,10,15)&gt;$C$7),1,0)</f>
        <v>0</v>
      </c>
      <c r="P20" s="106" t="n">
        <f aca="false">IF(AND(DATE(2026,10,15)&gt;=P$7,DATE(2026,10,15)&lt;=P$6,DATE(2026,10,15)&gt;$C$7),1,0)</f>
        <v>0</v>
      </c>
      <c r="Q20" s="106" t="n">
        <f aca="false">IF(AND(DATE(2026,10,15)&gt;=Q$7,DATE(2026,10,15)&lt;=Q$6,DATE(2026,10,15)&gt;$C$7),1,0)</f>
        <v>0</v>
      </c>
      <c r="R20" s="106" t="n">
        <f aca="false">IF(AND(DATE(2026,10,15)&gt;=R$7,DATE(2026,10,15)&lt;=R$6,DATE(2026,10,15)&gt;$C$7),1,0)</f>
        <v>0</v>
      </c>
      <c r="S20" s="106" t="n">
        <f aca="false">IF(AND(DATE(2026,10,15)&gt;=S$7,DATE(2026,10,15)&lt;=S$6,DATE(2026,10,15)&gt;$C$7),1,0)</f>
        <v>0</v>
      </c>
      <c r="T20" s="106" t="n">
        <f aca="false">IF(AND(DATE(2026,10,15)&gt;=T$7,DATE(2026,10,15)&lt;=T$6,DATE(2026,10,15)&gt;$C$7),1,0)</f>
        <v>0</v>
      </c>
      <c r="U20" s="106" t="n">
        <f aca="false">SUM(H20:T20)</f>
        <v>1</v>
      </c>
    </row>
    <row r="21" customFormat="false" ht="15" hidden="false" customHeight="false" outlineLevel="1" collapsed="false">
      <c r="A21" s="14" t="s">
        <v>684</v>
      </c>
      <c r="H21" s="106" t="n">
        <f aca="false">IF(AND(DATE(2026,11,15)&gt;=H$7,DATE(2026,11,15)&lt;=H$6,DATE(2026,11,15)&gt;$C$7),1,0)</f>
        <v>0</v>
      </c>
      <c r="I21" s="106" t="n">
        <f aca="false">IF(AND(DATE(2026,11,15)&gt;=I$7,DATE(2026,11,15)&lt;=I$6,DATE(2026,11,15)&gt;$C$7),1,0)</f>
        <v>0</v>
      </c>
      <c r="J21" s="106" t="n">
        <f aca="false">IF(AND(DATE(2026,11,15)&gt;=J$7,DATE(2026,11,15)&lt;=J$6,DATE(2026,11,15)&gt;$C$7),1,0)</f>
        <v>0</v>
      </c>
      <c r="K21" s="106" t="n">
        <f aca="false">IF(AND(DATE(2026,11,15)&gt;=K$7,DATE(2026,11,15)&lt;=K$6,DATE(2026,11,15)&gt;$C$7),1,0)</f>
        <v>0</v>
      </c>
      <c r="L21" s="106" t="n">
        <f aca="false">IF(AND(DATE(2026,11,15)&gt;=L$7,DATE(2026,11,15)&lt;=L$6,DATE(2026,11,15)&gt;$C$7),1,0)</f>
        <v>0</v>
      </c>
      <c r="M21" s="106" t="n">
        <f aca="false">IF(AND(DATE(2026,11,15)&gt;=M$7,DATE(2026,11,15)&lt;=M$6,DATE(2026,11,15)&gt;$C$7),1,0)</f>
        <v>0</v>
      </c>
      <c r="N21" s="106" t="n">
        <f aca="false">IF(AND(DATE(2026,11,15)&gt;=N$7,DATE(2026,11,15)&lt;=N$6,DATE(2026,11,15)&gt;$C$7),1,0)</f>
        <v>0</v>
      </c>
      <c r="O21" s="106" t="n">
        <f aca="false">IF(AND(DATE(2026,11,15)&gt;=O$7,DATE(2026,11,15)&lt;=O$6,DATE(2026,11,15)&gt;$C$7),1,0)</f>
        <v>0</v>
      </c>
      <c r="P21" s="106" t="n">
        <f aca="false">IF(AND(DATE(2026,11,15)&gt;=P$7,DATE(2026,11,15)&lt;=P$6,DATE(2026,11,15)&gt;$C$7),1,0)</f>
        <v>0</v>
      </c>
      <c r="Q21" s="106" t="n">
        <f aca="false">IF(AND(DATE(2026,11,15)&gt;=Q$7,DATE(2026,11,15)&lt;=Q$6,DATE(2026,11,15)&gt;$C$7),1,0)</f>
        <v>1</v>
      </c>
      <c r="R21" s="106" t="n">
        <f aca="false">IF(AND(DATE(2026,11,15)&gt;=R$7,DATE(2026,11,15)&lt;=R$6,DATE(2026,11,15)&gt;$C$7),1,0)</f>
        <v>0</v>
      </c>
      <c r="S21" s="106" t="n">
        <f aca="false">IF(AND(DATE(2026,11,15)&gt;=S$7,DATE(2026,11,15)&lt;=S$6,DATE(2026,11,15)&gt;$C$7),1,0)</f>
        <v>0</v>
      </c>
      <c r="T21" s="106" t="n">
        <f aca="false">IF(AND(DATE(2026,11,15)&gt;=T$7,DATE(2026,11,15)&lt;=T$6,DATE(2026,11,15)&gt;$C$7),1,0)</f>
        <v>0</v>
      </c>
      <c r="U21" s="106" t="n">
        <f aca="false">SUM(H21:T21)</f>
        <v>1</v>
      </c>
    </row>
    <row r="22" customFormat="false" ht="15" hidden="false" customHeight="false" outlineLevel="1" collapsed="false">
      <c r="A22" s="14" t="s">
        <v>685</v>
      </c>
      <c r="H22" s="106" t="n">
        <f aca="false">IF(AND(DATE(2026,12,15)&gt;=H$7,DATE(2026,12,15)&lt;=H$6,DATE(2026,12,15)&gt;$C$7),1,0)</f>
        <v>0</v>
      </c>
      <c r="I22" s="106" t="n">
        <f aca="false">IF(AND(DATE(2026,12,15)&gt;=I$7,DATE(2026,12,15)&lt;=I$6,DATE(2026,12,15)&gt;$C$7),1,0)</f>
        <v>0</v>
      </c>
      <c r="J22" s="106" t="n">
        <f aca="false">IF(AND(DATE(2026,12,15)&gt;=J$7,DATE(2026,12,15)&lt;=J$6,DATE(2026,12,15)&gt;$C$7),1,0)</f>
        <v>0</v>
      </c>
      <c r="K22" s="106" t="n">
        <f aca="false">IF(AND(DATE(2026,12,15)&gt;=K$7,DATE(2026,12,15)&lt;=K$6,DATE(2026,12,15)&gt;$C$7),1,0)</f>
        <v>0</v>
      </c>
      <c r="L22" s="106" t="n">
        <f aca="false">IF(AND(DATE(2026,12,15)&gt;=L$7,DATE(2026,12,15)&lt;=L$6,DATE(2026,12,15)&gt;$C$7),1,0)</f>
        <v>0</v>
      </c>
      <c r="M22" s="106" t="n">
        <f aca="false">IF(AND(DATE(2026,12,15)&gt;=M$7,DATE(2026,12,15)&lt;=M$6,DATE(2026,12,15)&gt;$C$7),1,0)</f>
        <v>0</v>
      </c>
      <c r="N22" s="106" t="n">
        <f aca="false">IF(AND(DATE(2026,12,15)&gt;=N$7,DATE(2026,12,15)&lt;=N$6,DATE(2026,12,15)&gt;$C$7),1,0)</f>
        <v>0</v>
      </c>
      <c r="O22" s="106" t="n">
        <f aca="false">IF(AND(DATE(2026,12,15)&gt;=O$7,DATE(2026,12,15)&lt;=O$6,DATE(2026,12,15)&gt;$C$7),1,0)</f>
        <v>0</v>
      </c>
      <c r="P22" s="106" t="n">
        <f aca="false">IF(AND(DATE(2026,12,15)&gt;=P$7,DATE(2026,12,15)&lt;=P$6,DATE(2026,12,15)&gt;$C$7),1,0)</f>
        <v>0</v>
      </c>
      <c r="Q22" s="106" t="n">
        <f aca="false">IF(AND(DATE(2026,12,15)&gt;=Q$7,DATE(2026,12,15)&lt;=Q$6,DATE(2026,12,15)&gt;$C$7),1,0)</f>
        <v>0</v>
      </c>
      <c r="R22" s="106" t="n">
        <f aca="false">IF(AND(DATE(2026,12,15)&gt;=R$7,DATE(2026,12,15)&lt;=R$6,DATE(2026,12,15)&gt;$C$7),1,0)</f>
        <v>0</v>
      </c>
      <c r="S22" s="106" t="n">
        <f aca="false">IF(AND(DATE(2026,12,15)&gt;=S$7,DATE(2026,12,15)&lt;=S$6,DATE(2026,12,15)&gt;$C$7),1,0)</f>
        <v>0</v>
      </c>
      <c r="T22" s="106" t="n">
        <f aca="false">IF(AND(DATE(2026,12,15)&gt;=T$7,DATE(2026,12,15)&lt;=T$6,DATE(2026,12,15)&gt;$C$7),1,0)</f>
        <v>0</v>
      </c>
      <c r="U22" s="106" t="n">
        <f aca="false">SUM(H22:T22)</f>
        <v>0</v>
      </c>
    </row>
    <row r="23" customFormat="false" ht="15" hidden="false" customHeight="false" outlineLevel="1" collapsed="false">
      <c r="A23" s="14" t="s">
        <v>686</v>
      </c>
      <c r="H23" s="106" t="n">
        <f aca="false">IF(AND(DATE(2026,9,25)&gt;=H$7,DATE(2026,9,25)&lt;=H$6,DATE(2026,9,25)&gt;$C$7),1,0)</f>
        <v>0</v>
      </c>
      <c r="I23" s="106" t="n">
        <f aca="false">IF(AND(DATE(2026,9,25)&gt;=I$7,DATE(2026,9,25)&lt;=I$6,DATE(2026,9,25)&gt;$C$7),1,0)</f>
        <v>1</v>
      </c>
      <c r="J23" s="106" t="n">
        <f aca="false">IF(AND(DATE(2026,9,25)&gt;=J$7,DATE(2026,9,25)&lt;=J$6,DATE(2026,9,25)&gt;$C$7),1,0)</f>
        <v>0</v>
      </c>
      <c r="K23" s="106" t="n">
        <f aca="false">IF(AND(DATE(2026,9,25)&gt;=K$7,DATE(2026,9,25)&lt;=K$6,DATE(2026,9,25)&gt;$C$7),1,0)</f>
        <v>0</v>
      </c>
      <c r="L23" s="106" t="n">
        <f aca="false">IF(AND(DATE(2026,9,25)&gt;=L$7,DATE(2026,9,25)&lt;=L$6,DATE(2026,9,25)&gt;$C$7),1,0)</f>
        <v>0</v>
      </c>
      <c r="M23" s="106" t="n">
        <f aca="false">IF(AND(DATE(2026,9,25)&gt;=M$7,DATE(2026,9,25)&lt;=M$6,DATE(2026,9,25)&gt;$C$7),1,0)</f>
        <v>0</v>
      </c>
      <c r="N23" s="106" t="n">
        <f aca="false">IF(AND(DATE(2026,9,25)&gt;=N$7,DATE(2026,9,25)&lt;=N$6,DATE(2026,9,25)&gt;$C$7),1,0)</f>
        <v>0</v>
      </c>
      <c r="O23" s="106" t="n">
        <f aca="false">IF(AND(DATE(2026,9,25)&gt;=O$7,DATE(2026,9,25)&lt;=O$6,DATE(2026,9,25)&gt;$C$7),1,0)</f>
        <v>0</v>
      </c>
      <c r="P23" s="106" t="n">
        <f aca="false">IF(AND(DATE(2026,9,25)&gt;=P$7,DATE(2026,9,25)&lt;=P$6,DATE(2026,9,25)&gt;$C$7),1,0)</f>
        <v>0</v>
      </c>
      <c r="Q23" s="106" t="n">
        <f aca="false">IF(AND(DATE(2026,9,25)&gt;=Q$7,DATE(2026,9,25)&lt;=Q$6,DATE(2026,9,25)&gt;$C$7),1,0)</f>
        <v>0</v>
      </c>
      <c r="R23" s="106" t="n">
        <f aca="false">IF(AND(DATE(2026,9,25)&gt;=R$7,DATE(2026,9,25)&lt;=R$6,DATE(2026,9,25)&gt;$C$7),1,0)</f>
        <v>0</v>
      </c>
      <c r="S23" s="106" t="n">
        <f aca="false">IF(AND(DATE(2026,9,25)&gt;=S$7,DATE(2026,9,25)&lt;=S$6,DATE(2026,9,25)&gt;$C$7),1,0)</f>
        <v>0</v>
      </c>
      <c r="T23" s="106" t="n">
        <f aca="false">IF(AND(DATE(2026,9,25)&gt;=T$7,DATE(2026,9,25)&lt;=T$6,DATE(2026,9,25)&gt;$C$7),1,0)</f>
        <v>0</v>
      </c>
      <c r="U23" s="106" t="n">
        <f aca="false">SUM(H23:T23)</f>
        <v>1</v>
      </c>
    </row>
    <row r="24" customFormat="false" ht="15" hidden="false" customHeight="false" outlineLevel="1" collapsed="false">
      <c r="A24" s="14" t="s">
        <v>687</v>
      </c>
      <c r="H24" s="106" t="n">
        <f aca="false">IF(AND(DATE(2026,10,25)&gt;=H$7,DATE(2026,10,25)&lt;=H$6,DATE(2026,10,25)&gt;$C$7),1,0)</f>
        <v>0</v>
      </c>
      <c r="I24" s="106" t="n">
        <f aca="false">IF(AND(DATE(2026,10,25)&gt;=I$7,DATE(2026,10,25)&lt;=I$6,DATE(2026,10,25)&gt;$C$7),1,0)</f>
        <v>0</v>
      </c>
      <c r="J24" s="106" t="n">
        <f aca="false">IF(AND(DATE(2026,10,25)&gt;=J$7,DATE(2026,10,25)&lt;=J$6,DATE(2026,10,25)&gt;$C$7),1,0)</f>
        <v>0</v>
      </c>
      <c r="K24" s="106" t="n">
        <f aca="false">IF(AND(DATE(2026,10,25)&gt;=K$7,DATE(2026,10,25)&lt;=K$6,DATE(2026,10,25)&gt;$C$7),1,0)</f>
        <v>0</v>
      </c>
      <c r="L24" s="106" t="n">
        <f aca="false">IF(AND(DATE(2026,10,25)&gt;=L$7,DATE(2026,10,25)&lt;=L$6,DATE(2026,10,25)&gt;$C$7),1,0)</f>
        <v>0</v>
      </c>
      <c r="M24" s="106" t="n">
        <f aca="false">IF(AND(DATE(2026,10,25)&gt;=M$7,DATE(2026,10,25)&lt;=M$6,DATE(2026,10,25)&gt;$C$7),1,0)</f>
        <v>0</v>
      </c>
      <c r="N24" s="106" t="n">
        <f aca="false">IF(AND(DATE(2026,10,25)&gt;=N$7,DATE(2026,10,25)&lt;=N$6,DATE(2026,10,25)&gt;$C$7),1,0)</f>
        <v>1</v>
      </c>
      <c r="O24" s="106" t="n">
        <f aca="false">IF(AND(DATE(2026,10,25)&gt;=O$7,DATE(2026,10,25)&lt;=O$6,DATE(2026,10,25)&gt;$C$7),1,0)</f>
        <v>0</v>
      </c>
      <c r="P24" s="106" t="n">
        <f aca="false">IF(AND(DATE(2026,10,25)&gt;=P$7,DATE(2026,10,25)&lt;=P$6,DATE(2026,10,25)&gt;$C$7),1,0)</f>
        <v>0</v>
      </c>
      <c r="Q24" s="106" t="n">
        <f aca="false">IF(AND(DATE(2026,10,25)&gt;=Q$7,DATE(2026,10,25)&lt;=Q$6,DATE(2026,10,25)&gt;$C$7),1,0)</f>
        <v>0</v>
      </c>
      <c r="R24" s="106" t="n">
        <f aca="false">IF(AND(DATE(2026,10,25)&gt;=R$7,DATE(2026,10,25)&lt;=R$6,DATE(2026,10,25)&gt;$C$7),1,0)</f>
        <v>0</v>
      </c>
      <c r="S24" s="106" t="n">
        <f aca="false">IF(AND(DATE(2026,10,25)&gt;=S$7,DATE(2026,10,25)&lt;=S$6,DATE(2026,10,25)&gt;$C$7),1,0)</f>
        <v>0</v>
      </c>
      <c r="T24" s="106" t="n">
        <f aca="false">IF(AND(DATE(2026,10,25)&gt;=T$7,DATE(2026,10,25)&lt;=T$6,DATE(2026,10,25)&gt;$C$7),1,0)</f>
        <v>0</v>
      </c>
      <c r="U24" s="106" t="n">
        <f aca="false">SUM(H24:T24)</f>
        <v>1</v>
      </c>
    </row>
    <row r="25" customFormat="false" ht="15" hidden="false" customHeight="false" outlineLevel="1" collapsed="false">
      <c r="A25" s="14" t="s">
        <v>688</v>
      </c>
      <c r="H25" s="106" t="n">
        <f aca="false">IF(AND(DATE(2026,11,25)&gt;=H$7,DATE(2026,11,25)&lt;=H$6,DATE(2026,11,25)&gt;$C$7),1,0)</f>
        <v>0</v>
      </c>
      <c r="I25" s="106" t="n">
        <f aca="false">IF(AND(DATE(2026,11,25)&gt;=I$7,DATE(2026,11,25)&lt;=I$6,DATE(2026,11,25)&gt;$C$7),1,0)</f>
        <v>0</v>
      </c>
      <c r="J25" s="106" t="n">
        <f aca="false">IF(AND(DATE(2026,11,25)&gt;=J$7,DATE(2026,11,25)&lt;=J$6,DATE(2026,11,25)&gt;$C$7),1,0)</f>
        <v>0</v>
      </c>
      <c r="K25" s="106" t="n">
        <f aca="false">IF(AND(DATE(2026,11,25)&gt;=K$7,DATE(2026,11,25)&lt;=K$6,DATE(2026,11,25)&gt;$C$7),1,0)</f>
        <v>0</v>
      </c>
      <c r="L25" s="106" t="n">
        <f aca="false">IF(AND(DATE(2026,11,25)&gt;=L$7,DATE(2026,11,25)&lt;=L$6,DATE(2026,11,25)&gt;$C$7),1,0)</f>
        <v>0</v>
      </c>
      <c r="M25" s="106" t="n">
        <f aca="false">IF(AND(DATE(2026,11,25)&gt;=M$7,DATE(2026,11,25)&lt;=M$6,DATE(2026,11,25)&gt;$C$7),1,0)</f>
        <v>0</v>
      </c>
      <c r="N25" s="106" t="n">
        <f aca="false">IF(AND(DATE(2026,11,25)&gt;=N$7,DATE(2026,11,25)&lt;=N$6,DATE(2026,11,25)&gt;$C$7),1,0)</f>
        <v>0</v>
      </c>
      <c r="O25" s="106" t="n">
        <f aca="false">IF(AND(DATE(2026,11,25)&gt;=O$7,DATE(2026,11,25)&lt;=O$6,DATE(2026,11,25)&gt;$C$7),1,0)</f>
        <v>0</v>
      </c>
      <c r="P25" s="106" t="n">
        <f aca="false">IF(AND(DATE(2026,11,25)&gt;=P$7,DATE(2026,11,25)&lt;=P$6,DATE(2026,11,25)&gt;$C$7),1,0)</f>
        <v>0</v>
      </c>
      <c r="Q25" s="106" t="n">
        <f aca="false">IF(AND(DATE(2026,11,25)&gt;=Q$7,DATE(2026,11,25)&lt;=Q$6,DATE(2026,11,25)&gt;$C$7),1,0)</f>
        <v>0</v>
      </c>
      <c r="R25" s="106" t="n">
        <f aca="false">IF(AND(DATE(2026,11,25)&gt;=R$7,DATE(2026,11,25)&lt;=R$6,DATE(2026,11,25)&gt;$C$7),1,0)</f>
        <v>1</v>
      </c>
      <c r="S25" s="106" t="n">
        <f aca="false">IF(AND(DATE(2026,11,25)&gt;=S$7,DATE(2026,11,25)&lt;=S$6,DATE(2026,11,25)&gt;$C$7),1,0)</f>
        <v>0</v>
      </c>
      <c r="T25" s="106" t="n">
        <f aca="false">IF(AND(DATE(2026,11,25)&gt;=T$7,DATE(2026,11,25)&lt;=T$6,DATE(2026,11,25)&gt;$C$7),1,0)</f>
        <v>0</v>
      </c>
      <c r="U25" s="106" t="n">
        <f aca="false">SUM(H25:T25)</f>
        <v>1</v>
      </c>
    </row>
    <row r="26" customFormat="false" ht="15" hidden="false" customHeight="false" outlineLevel="1" collapsed="false">
      <c r="A26" s="14" t="s">
        <v>689</v>
      </c>
      <c r="H26" s="106" t="n">
        <f aca="false">IF(AND(DATE(2026,12,25)&gt;=H$7,DATE(2026,12,25)&lt;=H$6,DATE(2026,12,25)&gt;$C$7),1,0)</f>
        <v>0</v>
      </c>
      <c r="I26" s="106" t="n">
        <f aca="false">IF(AND(DATE(2026,12,25)&gt;=I$7,DATE(2026,12,25)&lt;=I$6,DATE(2026,12,25)&gt;$C$7),1,0)</f>
        <v>0</v>
      </c>
      <c r="J26" s="106" t="n">
        <f aca="false">IF(AND(DATE(2026,12,25)&gt;=J$7,DATE(2026,12,25)&lt;=J$6,DATE(2026,12,25)&gt;$C$7),1,0)</f>
        <v>0</v>
      </c>
      <c r="K26" s="106" t="n">
        <f aca="false">IF(AND(DATE(2026,12,25)&gt;=K$7,DATE(2026,12,25)&lt;=K$6,DATE(2026,12,25)&gt;$C$7),1,0)</f>
        <v>0</v>
      </c>
      <c r="L26" s="106" t="n">
        <f aca="false">IF(AND(DATE(2026,12,25)&gt;=L$7,DATE(2026,12,25)&lt;=L$6,DATE(2026,12,25)&gt;$C$7),1,0)</f>
        <v>0</v>
      </c>
      <c r="M26" s="106" t="n">
        <f aca="false">IF(AND(DATE(2026,12,25)&gt;=M$7,DATE(2026,12,25)&lt;=M$6,DATE(2026,12,25)&gt;$C$7),1,0)</f>
        <v>0</v>
      </c>
      <c r="N26" s="106" t="n">
        <f aca="false">IF(AND(DATE(2026,12,25)&gt;=N$7,DATE(2026,12,25)&lt;=N$6,DATE(2026,12,25)&gt;$C$7),1,0)</f>
        <v>0</v>
      </c>
      <c r="O26" s="106" t="n">
        <f aca="false">IF(AND(DATE(2026,12,25)&gt;=O$7,DATE(2026,12,25)&lt;=O$6,DATE(2026,12,25)&gt;$C$7),1,0)</f>
        <v>0</v>
      </c>
      <c r="P26" s="106" t="n">
        <f aca="false">IF(AND(DATE(2026,12,25)&gt;=P$7,DATE(2026,12,25)&lt;=P$6,DATE(2026,12,25)&gt;$C$7),1,0)</f>
        <v>0</v>
      </c>
      <c r="Q26" s="106" t="n">
        <f aca="false">IF(AND(DATE(2026,12,25)&gt;=Q$7,DATE(2026,12,25)&lt;=Q$6,DATE(2026,12,25)&gt;$C$7),1,0)</f>
        <v>0</v>
      </c>
      <c r="R26" s="106" t="n">
        <f aca="false">IF(AND(DATE(2026,12,25)&gt;=R$7,DATE(2026,12,25)&lt;=R$6,DATE(2026,12,25)&gt;$C$7),1,0)</f>
        <v>0</v>
      </c>
      <c r="S26" s="106" t="n">
        <f aca="false">IF(AND(DATE(2026,12,25)&gt;=S$7,DATE(2026,12,25)&lt;=S$6,DATE(2026,12,25)&gt;$C$7),1,0)</f>
        <v>0</v>
      </c>
      <c r="T26" s="106" t="n">
        <f aca="false">IF(AND(DATE(2026,12,25)&gt;=T$7,DATE(2026,12,25)&lt;=T$6,DATE(2026,12,25)&gt;$C$7),1,0)</f>
        <v>0</v>
      </c>
      <c r="U26" s="106" t="n">
        <f aca="false">SUM(H26:T26)</f>
        <v>0</v>
      </c>
    </row>
    <row r="27" customFormat="false" ht="15" hidden="false" customHeight="false" outlineLevel="1" collapsed="false">
      <c r="A27" s="14" t="s">
        <v>690</v>
      </c>
      <c r="H27" s="106" t="n">
        <f aca="false">IF(AND(Assumptions!M$203&gt;=H$7,Assumptions!M$203&lt;=H$6,Assumptions!M$203&gt;$C$7),1,0)</f>
        <v>0</v>
      </c>
      <c r="I27" s="106" t="n">
        <f aca="false">IF(AND(Assumptions!M$203&gt;=I$7,Assumptions!M$203&lt;=I$6,Assumptions!M$203&gt;$C$7),1,0)</f>
        <v>0</v>
      </c>
      <c r="J27" s="106" t="n">
        <f aca="false">IF(AND(Assumptions!M$203&gt;=J$7,Assumptions!M$203&lt;=J$6,Assumptions!M$203&gt;$C$7),1,0)</f>
        <v>1</v>
      </c>
      <c r="K27" s="106" t="n">
        <f aca="false">IF(AND(Assumptions!M$203&gt;=K$7,Assumptions!M$203&lt;=K$6,Assumptions!M$203&gt;$C$7),1,0)</f>
        <v>0</v>
      </c>
      <c r="L27" s="106" t="n">
        <f aca="false">IF(AND(Assumptions!M$203&gt;=L$7,Assumptions!M$203&lt;=L$6,Assumptions!M$203&gt;$C$7),1,0)</f>
        <v>0</v>
      </c>
      <c r="M27" s="106" t="n">
        <f aca="false">IF(AND(Assumptions!M$203&gt;=M$7,Assumptions!M$203&lt;=M$6,Assumptions!M$203&gt;$C$7),1,0)</f>
        <v>0</v>
      </c>
      <c r="N27" s="106" t="n">
        <f aca="false">IF(AND(Assumptions!M$203&gt;=N$7,Assumptions!M$203&lt;=N$6,Assumptions!M$203&gt;$C$7),1,0)</f>
        <v>0</v>
      </c>
      <c r="O27" s="106" t="n">
        <f aca="false">IF(AND(Assumptions!M$203&gt;=O$7,Assumptions!M$203&lt;=O$6,Assumptions!M$203&gt;$C$7),1,0)</f>
        <v>0</v>
      </c>
      <c r="P27" s="106" t="n">
        <f aca="false">IF(AND(Assumptions!M$203&gt;=P$7,Assumptions!M$203&lt;=P$6,Assumptions!M$203&gt;$C$7),1,0)</f>
        <v>0</v>
      </c>
      <c r="Q27" s="106" t="n">
        <f aca="false">IF(AND(Assumptions!M$203&gt;=Q$7,Assumptions!M$203&lt;=Q$6,Assumptions!M$203&gt;$C$7),1,0)</f>
        <v>0</v>
      </c>
      <c r="R27" s="106" t="n">
        <f aca="false">IF(AND(Assumptions!M$203&gt;=R$7,Assumptions!M$203&lt;=R$6,Assumptions!M$203&gt;$C$7),1,0)</f>
        <v>0</v>
      </c>
      <c r="S27" s="106" t="n">
        <f aca="false">IF(AND(Assumptions!M$203&gt;=S$7,Assumptions!M$203&lt;=S$6,Assumptions!M$203&gt;$C$7),1,0)</f>
        <v>0</v>
      </c>
      <c r="T27" s="106" t="n">
        <f aca="false">IF(AND(Assumptions!M$203&gt;=T$7,Assumptions!M$203&lt;=T$6,Assumptions!M$203&gt;$C$7),1,0)</f>
        <v>0</v>
      </c>
      <c r="U27" s="106" t="n">
        <f aca="false">SUM(H27:T27)</f>
        <v>1</v>
      </c>
    </row>
    <row r="28" customFormat="false" ht="15" hidden="false" customHeight="false" outlineLevel="1" collapsed="false">
      <c r="A28" s="14" t="s">
        <v>691</v>
      </c>
      <c r="H28" s="106" t="n">
        <f aca="false">IF(AND(Assumptions!N$203&gt;=H$7,Assumptions!N$203&lt;=H$6,Assumptions!N$203&gt;$C$7),1,0)</f>
        <v>0</v>
      </c>
      <c r="I28" s="106" t="n">
        <f aca="false">IF(AND(Assumptions!N$203&gt;=I$7,Assumptions!N$203&lt;=I$6,Assumptions!N$203&gt;$C$7),1,0)</f>
        <v>0</v>
      </c>
      <c r="J28" s="106" t="n">
        <f aca="false">IF(AND(Assumptions!N$203&gt;=J$7,Assumptions!N$203&lt;=J$6,Assumptions!N$203&gt;$C$7),1,0)</f>
        <v>0</v>
      </c>
      <c r="K28" s="106" t="n">
        <f aca="false">IF(AND(Assumptions!N$203&gt;=K$7,Assumptions!N$203&lt;=K$6,Assumptions!N$203&gt;$C$7),1,0)</f>
        <v>0</v>
      </c>
      <c r="L28" s="106" t="n">
        <f aca="false">IF(AND(Assumptions!N$203&gt;=L$7,Assumptions!N$203&lt;=L$6,Assumptions!N$203&gt;$C$7),1,0)</f>
        <v>0</v>
      </c>
      <c r="M28" s="106" t="n">
        <f aca="false">IF(AND(Assumptions!N$203&gt;=M$7,Assumptions!N$203&lt;=M$6,Assumptions!N$203&gt;$C$7),1,0)</f>
        <v>0</v>
      </c>
      <c r="N28" s="106" t="n">
        <f aca="false">IF(AND(Assumptions!N$203&gt;=N$7,Assumptions!N$203&lt;=N$6,Assumptions!N$203&gt;$C$7),1,0)</f>
        <v>0</v>
      </c>
      <c r="O28" s="106" t="n">
        <f aca="false">IF(AND(Assumptions!N$203&gt;=O$7,Assumptions!N$203&lt;=O$6,Assumptions!N$203&gt;$C$7),1,0)</f>
        <v>1</v>
      </c>
      <c r="P28" s="106" t="n">
        <f aca="false">IF(AND(Assumptions!N$203&gt;=P$7,Assumptions!N$203&lt;=P$6,Assumptions!N$203&gt;$C$7),1,0)</f>
        <v>0</v>
      </c>
      <c r="Q28" s="106" t="n">
        <f aca="false">IF(AND(Assumptions!N$203&gt;=Q$7,Assumptions!N$203&lt;=Q$6,Assumptions!N$203&gt;$C$7),1,0)</f>
        <v>0</v>
      </c>
      <c r="R28" s="106" t="n">
        <f aca="false">IF(AND(Assumptions!N$203&gt;=R$7,Assumptions!N$203&lt;=R$6,Assumptions!N$203&gt;$C$7),1,0)</f>
        <v>0</v>
      </c>
      <c r="S28" s="106" t="n">
        <f aca="false">IF(AND(Assumptions!N$203&gt;=S$7,Assumptions!N$203&lt;=S$6,Assumptions!N$203&gt;$C$7),1,0)</f>
        <v>0</v>
      </c>
      <c r="T28" s="106" t="n">
        <f aca="false">IF(AND(Assumptions!N$203&gt;=T$7,Assumptions!N$203&lt;=T$6,Assumptions!N$203&gt;$C$7),1,0)</f>
        <v>0</v>
      </c>
      <c r="U28" s="106" t="n">
        <f aca="false">SUM(H28:T28)</f>
        <v>1</v>
      </c>
    </row>
    <row r="29" customFormat="false" ht="15" hidden="false" customHeight="false" outlineLevel="1" collapsed="false">
      <c r="A29" s="14" t="s">
        <v>692</v>
      </c>
      <c r="H29" s="106" t="n">
        <f aca="false">IF(AND(Assumptions!O$203&gt;=H$7,Assumptions!O$203&lt;=H$6,Assumptions!O$203&gt;$C$7),1,0)</f>
        <v>0</v>
      </c>
      <c r="I29" s="106" t="n">
        <f aca="false">IF(AND(Assumptions!O$203&gt;=I$7,Assumptions!O$203&lt;=I$6,Assumptions!O$203&gt;$C$7),1,0)</f>
        <v>0</v>
      </c>
      <c r="J29" s="106" t="n">
        <f aca="false">IF(AND(Assumptions!O$203&gt;=J$7,Assumptions!O$203&lt;=J$6,Assumptions!O$203&gt;$C$7),1,0)</f>
        <v>0</v>
      </c>
      <c r="K29" s="106" t="n">
        <f aca="false">IF(AND(Assumptions!O$203&gt;=K$7,Assumptions!O$203&lt;=K$6,Assumptions!O$203&gt;$C$7),1,0)</f>
        <v>0</v>
      </c>
      <c r="L29" s="106" t="n">
        <f aca="false">IF(AND(Assumptions!O$203&gt;=L$7,Assumptions!O$203&lt;=L$6,Assumptions!O$203&gt;$C$7),1,0)</f>
        <v>0</v>
      </c>
      <c r="M29" s="106" t="n">
        <f aca="false">IF(AND(Assumptions!O$203&gt;=M$7,Assumptions!O$203&lt;=M$6,Assumptions!O$203&gt;$C$7),1,0)</f>
        <v>0</v>
      </c>
      <c r="N29" s="106" t="n">
        <f aca="false">IF(AND(Assumptions!O$203&gt;=N$7,Assumptions!O$203&lt;=N$6,Assumptions!O$203&gt;$C$7),1,0)</f>
        <v>0</v>
      </c>
      <c r="O29" s="106" t="n">
        <f aca="false">IF(AND(Assumptions!O$203&gt;=O$7,Assumptions!O$203&lt;=O$6,Assumptions!O$203&gt;$C$7),1,0)</f>
        <v>0</v>
      </c>
      <c r="P29" s="106" t="n">
        <f aca="false">IF(AND(Assumptions!O$203&gt;=P$7,Assumptions!O$203&lt;=P$6,Assumptions!O$203&gt;$C$7),1,0)</f>
        <v>0</v>
      </c>
      <c r="Q29" s="106" t="n">
        <f aca="false">IF(AND(Assumptions!O$203&gt;=Q$7,Assumptions!O$203&lt;=Q$6,Assumptions!O$203&gt;$C$7),1,0)</f>
        <v>0</v>
      </c>
      <c r="R29" s="106" t="n">
        <f aca="false">IF(AND(Assumptions!O$203&gt;=R$7,Assumptions!O$203&lt;=R$6,Assumptions!O$203&gt;$C$7),1,0)</f>
        <v>0</v>
      </c>
      <c r="S29" s="106" t="n">
        <f aca="false">IF(AND(Assumptions!O$203&gt;=S$7,Assumptions!O$203&lt;=S$6,Assumptions!O$203&gt;$C$7),1,0)</f>
        <v>1</v>
      </c>
      <c r="T29" s="106" t="n">
        <f aca="false">IF(AND(Assumptions!O$203&gt;=T$7,Assumptions!O$203&lt;=T$6,Assumptions!O$203&gt;$C$7),1,0)</f>
        <v>0</v>
      </c>
      <c r="U29" s="106" t="n">
        <f aca="false">SUM(H29:T29)</f>
        <v>1</v>
      </c>
    </row>
    <row r="30" customFormat="false" ht="15" hidden="false" customHeight="false" outlineLevel="1" collapsed="false">
      <c r="A30" s="14" t="s">
        <v>693</v>
      </c>
      <c r="H30" s="106" t="n">
        <f aca="false">IF(AND(Assumptions!P$203&gt;=H$7,Assumptions!P$203&lt;=H$6,Assumptions!P$203&gt;$C$7),1,0)</f>
        <v>0</v>
      </c>
      <c r="I30" s="106" t="n">
        <f aca="false">IF(AND(Assumptions!P$203&gt;=I$7,Assumptions!P$203&lt;=I$6,Assumptions!P$203&gt;$C$7),1,0)</f>
        <v>0</v>
      </c>
      <c r="J30" s="106" t="n">
        <f aca="false">IF(AND(Assumptions!P$203&gt;=J$7,Assumptions!P$203&lt;=J$6,Assumptions!P$203&gt;$C$7),1,0)</f>
        <v>0</v>
      </c>
      <c r="K30" s="106" t="n">
        <f aca="false">IF(AND(Assumptions!P$203&gt;=K$7,Assumptions!P$203&lt;=K$6,Assumptions!P$203&gt;$C$7),1,0)</f>
        <v>0</v>
      </c>
      <c r="L30" s="106" t="n">
        <f aca="false">IF(AND(Assumptions!P$203&gt;=L$7,Assumptions!P$203&lt;=L$6,Assumptions!P$203&gt;$C$7),1,0)</f>
        <v>0</v>
      </c>
      <c r="M30" s="106" t="n">
        <f aca="false">IF(AND(Assumptions!P$203&gt;=M$7,Assumptions!P$203&lt;=M$6,Assumptions!P$203&gt;$C$7),1,0)</f>
        <v>0</v>
      </c>
      <c r="N30" s="106" t="n">
        <f aca="false">IF(AND(Assumptions!P$203&gt;=N$7,Assumptions!P$203&lt;=N$6,Assumptions!P$203&gt;$C$7),1,0)</f>
        <v>0</v>
      </c>
      <c r="O30" s="106" t="n">
        <f aca="false">IF(AND(Assumptions!P$203&gt;=O$7,Assumptions!P$203&lt;=O$6,Assumptions!P$203&gt;$C$7),1,0)</f>
        <v>0</v>
      </c>
      <c r="P30" s="106" t="n">
        <f aca="false">IF(AND(Assumptions!P$203&gt;=P$7,Assumptions!P$203&lt;=P$6,Assumptions!P$203&gt;$C$7),1,0)</f>
        <v>0</v>
      </c>
      <c r="Q30" s="106" t="n">
        <f aca="false">IF(AND(Assumptions!P$203&gt;=Q$7,Assumptions!P$203&lt;=Q$6,Assumptions!P$203&gt;$C$7),1,0)</f>
        <v>0</v>
      </c>
      <c r="R30" s="106" t="n">
        <f aca="false">IF(AND(Assumptions!P$203&gt;=R$7,Assumptions!P$203&lt;=R$6,Assumptions!P$203&gt;$C$7),1,0)</f>
        <v>0</v>
      </c>
      <c r="S30" s="106" t="n">
        <f aca="false">IF(AND(Assumptions!P$203&gt;=S$7,Assumptions!P$203&lt;=S$6,Assumptions!P$203&gt;$C$7),1,0)</f>
        <v>0</v>
      </c>
      <c r="T30" s="106" t="n">
        <f aca="false">IF(AND(Assumptions!P$203&gt;=T$7,Assumptions!P$203&lt;=T$6,Assumptions!P$203&gt;$C$7),1,0)</f>
        <v>0</v>
      </c>
      <c r="U30" s="106" t="n">
        <f aca="false">SUM(H30:T30)</f>
        <v>0</v>
      </c>
    </row>
    <row r="31" customFormat="false" ht="15" hidden="false" customHeight="false" outlineLevel="1" collapsed="false">
      <c r="A31" s="14" t="s">
        <v>694</v>
      </c>
      <c r="H31" s="106" t="n">
        <f aca="false">IF(AND(DATE(2026,9,30)&gt;=H$7,DATE(2026,9,30)&lt;=H$6,DATE(2026,9,30)&gt;$C$7),1,0)</f>
        <v>0</v>
      </c>
      <c r="I31" s="106" t="n">
        <f aca="false">IF(AND(DATE(2026,9,30)&gt;=I$7,DATE(2026,9,30)&lt;=I$6,DATE(2026,9,30)&gt;$C$7),1,0)</f>
        <v>0</v>
      </c>
      <c r="J31" s="106" t="n">
        <f aca="false">IF(AND(DATE(2026,9,30)&gt;=J$7,DATE(2026,9,30)&lt;=J$6,DATE(2026,9,30)&gt;$C$7),1,0)</f>
        <v>1</v>
      </c>
      <c r="K31" s="106" t="n">
        <f aca="false">IF(AND(DATE(2026,9,30)&gt;=K$7,DATE(2026,9,30)&lt;=K$6,DATE(2026,9,30)&gt;$C$7),1,0)</f>
        <v>0</v>
      </c>
      <c r="L31" s="106" t="n">
        <f aca="false">IF(AND(DATE(2026,9,30)&gt;=L$7,DATE(2026,9,30)&lt;=L$6,DATE(2026,9,30)&gt;$C$7),1,0)</f>
        <v>0</v>
      </c>
      <c r="M31" s="106" t="n">
        <f aca="false">IF(AND(DATE(2026,9,30)&gt;=M$7,DATE(2026,9,30)&lt;=M$6,DATE(2026,9,30)&gt;$C$7),1,0)</f>
        <v>0</v>
      </c>
      <c r="N31" s="106" t="n">
        <f aca="false">IF(AND(DATE(2026,9,30)&gt;=N$7,DATE(2026,9,30)&lt;=N$6,DATE(2026,9,30)&gt;$C$7),1,0)</f>
        <v>0</v>
      </c>
      <c r="O31" s="106" t="n">
        <f aca="false">IF(AND(DATE(2026,9,30)&gt;=O$7,DATE(2026,9,30)&lt;=O$6,DATE(2026,9,30)&gt;$C$7),1,0)</f>
        <v>0</v>
      </c>
      <c r="P31" s="106" t="n">
        <f aca="false">IF(AND(DATE(2026,9,30)&gt;=P$7,DATE(2026,9,30)&lt;=P$6,DATE(2026,9,30)&gt;$C$7),1,0)</f>
        <v>0</v>
      </c>
      <c r="Q31" s="106" t="n">
        <f aca="false">IF(AND(DATE(2026,9,30)&gt;=Q$7,DATE(2026,9,30)&lt;=Q$6,DATE(2026,9,30)&gt;$C$7),1,0)</f>
        <v>0</v>
      </c>
      <c r="R31" s="106" t="n">
        <f aca="false">IF(AND(DATE(2026,9,30)&gt;=R$7,DATE(2026,9,30)&lt;=R$6,DATE(2026,9,30)&gt;$C$7),1,0)</f>
        <v>0</v>
      </c>
      <c r="S31" s="106" t="n">
        <f aca="false">IF(AND(DATE(2026,9,30)&gt;=S$7,DATE(2026,9,30)&lt;=S$6,DATE(2026,9,30)&gt;$C$7),1,0)</f>
        <v>0</v>
      </c>
      <c r="T31" s="106" t="n">
        <f aca="false">IF(AND(DATE(2026,9,30)&gt;=T$7,DATE(2026,9,30)&lt;=T$6,DATE(2026,9,30)&gt;$C$7),1,0)</f>
        <v>0</v>
      </c>
      <c r="U31" s="106" t="n">
        <f aca="false">SUM(H31:T31)</f>
        <v>1</v>
      </c>
    </row>
    <row r="32" customFormat="false" ht="15" hidden="false" customHeight="false" outlineLevel="1" collapsed="false">
      <c r="A32" s="14" t="s">
        <v>695</v>
      </c>
      <c r="H32" s="106" t="n">
        <f aca="false">IF(AND(DATE(2026,10,30)&gt;=H$7,DATE(2026,10,30)&lt;=H$6,DATE(2026,10,30)&gt;$C$7),1,0)</f>
        <v>0</v>
      </c>
      <c r="I32" s="106" t="n">
        <f aca="false">IF(AND(DATE(2026,10,30)&gt;=I$7,DATE(2026,10,30)&lt;=I$6,DATE(2026,10,30)&gt;$C$7),1,0)</f>
        <v>0</v>
      </c>
      <c r="J32" s="106" t="n">
        <f aca="false">IF(AND(DATE(2026,10,30)&gt;=J$7,DATE(2026,10,30)&lt;=J$6,DATE(2026,10,30)&gt;$C$7),1,0)</f>
        <v>0</v>
      </c>
      <c r="K32" s="106" t="n">
        <f aca="false">IF(AND(DATE(2026,10,30)&gt;=K$7,DATE(2026,10,30)&lt;=K$6,DATE(2026,10,30)&gt;$C$7),1,0)</f>
        <v>0</v>
      </c>
      <c r="L32" s="106" t="n">
        <f aca="false">IF(AND(DATE(2026,10,30)&gt;=L$7,DATE(2026,10,30)&lt;=L$6,DATE(2026,10,30)&gt;$C$7),1,0)</f>
        <v>0</v>
      </c>
      <c r="M32" s="106" t="n">
        <f aca="false">IF(AND(DATE(2026,10,30)&gt;=M$7,DATE(2026,10,30)&lt;=M$6,DATE(2026,10,30)&gt;$C$7),1,0)</f>
        <v>0</v>
      </c>
      <c r="N32" s="106" t="n">
        <f aca="false">IF(AND(DATE(2026,10,30)&gt;=N$7,DATE(2026,10,30)&lt;=N$6,DATE(2026,10,30)&gt;$C$7),1,0)</f>
        <v>1</v>
      </c>
      <c r="O32" s="106" t="n">
        <f aca="false">IF(AND(DATE(2026,10,30)&gt;=O$7,DATE(2026,10,30)&lt;=O$6,DATE(2026,10,30)&gt;$C$7),1,0)</f>
        <v>0</v>
      </c>
      <c r="P32" s="106" t="n">
        <f aca="false">IF(AND(DATE(2026,10,30)&gt;=P$7,DATE(2026,10,30)&lt;=P$6,DATE(2026,10,30)&gt;$C$7),1,0)</f>
        <v>0</v>
      </c>
      <c r="Q32" s="106" t="n">
        <f aca="false">IF(AND(DATE(2026,10,30)&gt;=Q$7,DATE(2026,10,30)&lt;=Q$6,DATE(2026,10,30)&gt;$C$7),1,0)</f>
        <v>0</v>
      </c>
      <c r="R32" s="106" t="n">
        <f aca="false">IF(AND(DATE(2026,10,30)&gt;=R$7,DATE(2026,10,30)&lt;=R$6,DATE(2026,10,30)&gt;$C$7),1,0)</f>
        <v>0</v>
      </c>
      <c r="S32" s="106" t="n">
        <f aca="false">IF(AND(DATE(2026,10,30)&gt;=S$7,DATE(2026,10,30)&lt;=S$6,DATE(2026,10,30)&gt;$C$7),1,0)</f>
        <v>0</v>
      </c>
      <c r="T32" s="106" t="n">
        <f aca="false">IF(AND(DATE(2026,10,30)&gt;=T$7,DATE(2026,10,30)&lt;=T$6,DATE(2026,10,30)&gt;$C$7),1,0)</f>
        <v>0</v>
      </c>
      <c r="U32" s="106" t="n">
        <f aca="false">SUM(H32:T32)</f>
        <v>1</v>
      </c>
    </row>
    <row r="33" customFormat="false" ht="15" hidden="false" customHeight="false" outlineLevel="1" collapsed="false">
      <c r="A33" s="14" t="s">
        <v>696</v>
      </c>
      <c r="H33" s="106" t="n">
        <f aca="false">IF(AND(DATE(2026,11,30)&gt;=H$7,DATE(2026,11,30)&lt;=H$6,DATE(2026,11,30)&gt;$C$7),1,0)</f>
        <v>0</v>
      </c>
      <c r="I33" s="106" t="n">
        <f aca="false">IF(AND(DATE(2026,11,30)&gt;=I$7,DATE(2026,11,30)&lt;=I$6,DATE(2026,11,30)&gt;$C$7),1,0)</f>
        <v>0</v>
      </c>
      <c r="J33" s="106" t="n">
        <f aca="false">IF(AND(DATE(2026,11,30)&gt;=J$7,DATE(2026,11,30)&lt;=J$6,DATE(2026,11,30)&gt;$C$7),1,0)</f>
        <v>0</v>
      </c>
      <c r="K33" s="106" t="n">
        <f aca="false">IF(AND(DATE(2026,11,30)&gt;=K$7,DATE(2026,11,30)&lt;=K$6,DATE(2026,11,30)&gt;$C$7),1,0)</f>
        <v>0</v>
      </c>
      <c r="L33" s="106" t="n">
        <f aca="false">IF(AND(DATE(2026,11,30)&gt;=L$7,DATE(2026,11,30)&lt;=L$6,DATE(2026,11,30)&gt;$C$7),1,0)</f>
        <v>0</v>
      </c>
      <c r="M33" s="106" t="n">
        <f aca="false">IF(AND(DATE(2026,11,30)&gt;=M$7,DATE(2026,11,30)&lt;=M$6,DATE(2026,11,30)&gt;$C$7),1,0)</f>
        <v>0</v>
      </c>
      <c r="N33" s="106" t="n">
        <f aca="false">IF(AND(DATE(2026,11,30)&gt;=N$7,DATE(2026,11,30)&lt;=N$6,DATE(2026,11,30)&gt;$C$7),1,0)</f>
        <v>0</v>
      </c>
      <c r="O33" s="106" t="n">
        <f aca="false">IF(AND(DATE(2026,11,30)&gt;=O$7,DATE(2026,11,30)&lt;=O$6,DATE(2026,11,30)&gt;$C$7),1,0)</f>
        <v>0</v>
      </c>
      <c r="P33" s="106" t="n">
        <f aca="false">IF(AND(DATE(2026,11,30)&gt;=P$7,DATE(2026,11,30)&lt;=P$6,DATE(2026,11,30)&gt;$C$7),1,0)</f>
        <v>0</v>
      </c>
      <c r="Q33" s="106" t="n">
        <f aca="false">IF(AND(DATE(2026,11,30)&gt;=Q$7,DATE(2026,11,30)&lt;=Q$6,DATE(2026,11,30)&gt;$C$7),1,0)</f>
        <v>0</v>
      </c>
      <c r="R33" s="106" t="n">
        <f aca="false">IF(AND(DATE(2026,11,30)&gt;=R$7,DATE(2026,11,30)&lt;=R$6,DATE(2026,11,30)&gt;$C$7),1,0)</f>
        <v>0</v>
      </c>
      <c r="S33" s="106" t="n">
        <f aca="false">IF(AND(DATE(2026,11,30)&gt;=S$7,DATE(2026,11,30)&lt;=S$6,DATE(2026,11,30)&gt;$C$7),1,0)</f>
        <v>1</v>
      </c>
      <c r="T33" s="106" t="n">
        <f aca="false">IF(AND(DATE(2026,11,30)&gt;=T$7,DATE(2026,11,30)&lt;=T$6,DATE(2026,11,30)&gt;$C$7),1,0)</f>
        <v>0</v>
      </c>
      <c r="U33" s="106" t="n">
        <f aca="false">SUM(H33:T33)</f>
        <v>1</v>
      </c>
    </row>
    <row r="34" customFormat="false" ht="15" hidden="false" customHeight="false" outlineLevel="1" collapsed="false">
      <c r="A34" s="14" t="s">
        <v>697</v>
      </c>
      <c r="H34" s="106" t="n">
        <f aca="false">IF(AND(DATE(2026,12,31)&gt;=H$7,DATE(2026,12,31)&lt;=H$6,DATE(2026,12,31)&gt;$C$7),1,0)</f>
        <v>0</v>
      </c>
      <c r="I34" s="106" t="n">
        <f aca="false">IF(AND(DATE(2026,12,31)&gt;=I$7,DATE(2026,12,31)&lt;=I$6,DATE(2026,12,31)&gt;$C$7),1,0)</f>
        <v>0</v>
      </c>
      <c r="J34" s="106" t="n">
        <f aca="false">IF(AND(DATE(2026,12,31)&gt;=J$7,DATE(2026,12,31)&lt;=J$6,DATE(2026,12,31)&gt;$C$7),1,0)</f>
        <v>0</v>
      </c>
      <c r="K34" s="106" t="n">
        <f aca="false">IF(AND(DATE(2026,12,31)&gt;=K$7,DATE(2026,12,31)&lt;=K$6,DATE(2026,12,31)&gt;$C$7),1,0)</f>
        <v>0</v>
      </c>
      <c r="L34" s="106" t="n">
        <f aca="false">IF(AND(DATE(2026,12,31)&gt;=L$7,DATE(2026,12,31)&lt;=L$6,DATE(2026,12,31)&gt;$C$7),1,0)</f>
        <v>0</v>
      </c>
      <c r="M34" s="106" t="n">
        <f aca="false">IF(AND(DATE(2026,12,31)&gt;=M$7,DATE(2026,12,31)&lt;=M$6,DATE(2026,12,31)&gt;$C$7),1,0)</f>
        <v>0</v>
      </c>
      <c r="N34" s="106" t="n">
        <f aca="false">IF(AND(DATE(2026,12,31)&gt;=N$7,DATE(2026,12,31)&lt;=N$6,DATE(2026,12,31)&gt;$C$7),1,0)</f>
        <v>0</v>
      </c>
      <c r="O34" s="106" t="n">
        <f aca="false">IF(AND(DATE(2026,12,31)&gt;=O$7,DATE(2026,12,31)&lt;=O$6,DATE(2026,12,31)&gt;$C$7),1,0)</f>
        <v>0</v>
      </c>
      <c r="P34" s="106" t="n">
        <f aca="false">IF(AND(DATE(2026,12,31)&gt;=P$7,DATE(2026,12,31)&lt;=P$6,DATE(2026,12,31)&gt;$C$7),1,0)</f>
        <v>0</v>
      </c>
      <c r="Q34" s="106" t="n">
        <f aca="false">IF(AND(DATE(2026,12,31)&gt;=Q$7,DATE(2026,12,31)&lt;=Q$6,DATE(2026,12,31)&gt;$C$7),1,0)</f>
        <v>0</v>
      </c>
      <c r="R34" s="106" t="n">
        <f aca="false">IF(AND(DATE(2026,12,31)&gt;=R$7,DATE(2026,12,31)&lt;=R$6,DATE(2026,12,31)&gt;$C$7),1,0)</f>
        <v>0</v>
      </c>
      <c r="S34" s="106" t="n">
        <f aca="false">IF(AND(DATE(2026,12,31)&gt;=S$7,DATE(2026,12,31)&lt;=S$6,DATE(2026,12,31)&gt;$C$7),1,0)</f>
        <v>0</v>
      </c>
      <c r="T34" s="106" t="n">
        <f aca="false">IF(AND(DATE(2026,12,31)&gt;=T$7,DATE(2026,12,31)&lt;=T$6,DATE(2026,12,31)&gt;$C$7),1,0)</f>
        <v>0</v>
      </c>
      <c r="U34" s="106" t="n">
        <f aca="false">SUM(H34:T34)</f>
        <v>0</v>
      </c>
    </row>
    <row r="35" customFormat="false" ht="15" hidden="false" customHeight="false" outlineLevel="1" collapsed="false">
      <c r="A35" s="14" t="s">
        <v>698</v>
      </c>
      <c r="H35" s="106" t="n">
        <f aca="false">IF(AND(DATE(2026,9,7)&gt;=H$7,DATE(2026,9,7)&lt;=H$6,DATE(2026,9,7)&gt;$C$7),1,0)</f>
        <v>0</v>
      </c>
      <c r="I35" s="106" t="n">
        <f aca="false">IF(AND(DATE(2026,9,7)&gt;=I$7,DATE(2026,9,7)&lt;=I$6,DATE(2026,9,7)&gt;$C$7),1,0)</f>
        <v>0</v>
      </c>
      <c r="J35" s="106" t="n">
        <f aca="false">IF(AND(DATE(2026,9,7)&gt;=J$7,DATE(2026,9,7)&lt;=J$6,DATE(2026,9,7)&gt;$C$7),1,0)</f>
        <v>0</v>
      </c>
      <c r="K35" s="106" t="n">
        <f aca="false">IF(AND(DATE(2026,9,7)&gt;=K$7,DATE(2026,9,7)&lt;=K$6,DATE(2026,9,7)&gt;$C$7),1,0)</f>
        <v>0</v>
      </c>
      <c r="L35" s="106" t="n">
        <f aca="false">IF(AND(DATE(2026,9,7)&gt;=L$7,DATE(2026,9,7)&lt;=L$6,DATE(2026,9,7)&gt;$C$7),1,0)</f>
        <v>0</v>
      </c>
      <c r="M35" s="106" t="n">
        <f aca="false">IF(AND(DATE(2026,9,7)&gt;=M$7,DATE(2026,9,7)&lt;=M$6,DATE(2026,9,7)&gt;$C$7),1,0)</f>
        <v>0</v>
      </c>
      <c r="N35" s="106" t="n">
        <f aca="false">IF(AND(DATE(2026,9,7)&gt;=N$7,DATE(2026,9,7)&lt;=N$6,DATE(2026,9,7)&gt;$C$7),1,0)</f>
        <v>0</v>
      </c>
      <c r="O35" s="106" t="n">
        <f aca="false">IF(AND(DATE(2026,9,7)&gt;=O$7,DATE(2026,9,7)&lt;=O$6,DATE(2026,9,7)&gt;$C$7),1,0)</f>
        <v>0</v>
      </c>
      <c r="P35" s="106" t="n">
        <f aca="false">IF(AND(DATE(2026,9,7)&gt;=P$7,DATE(2026,9,7)&lt;=P$6,DATE(2026,9,7)&gt;$C$7),1,0)</f>
        <v>0</v>
      </c>
      <c r="Q35" s="106" t="n">
        <f aca="false">IF(AND(DATE(2026,9,7)&gt;=Q$7,DATE(2026,9,7)&lt;=Q$6,DATE(2026,9,7)&gt;$C$7),1,0)</f>
        <v>0</v>
      </c>
      <c r="R35" s="106" t="n">
        <f aca="false">IF(AND(DATE(2026,9,7)&gt;=R$7,DATE(2026,9,7)&lt;=R$6,DATE(2026,9,7)&gt;$C$7),1,0)</f>
        <v>0</v>
      </c>
      <c r="S35" s="106" t="n">
        <f aca="false">IF(AND(DATE(2026,9,7)&gt;=S$7,DATE(2026,9,7)&lt;=S$6,DATE(2026,9,7)&gt;$C$7),1,0)</f>
        <v>0</v>
      </c>
      <c r="T35" s="106" t="n">
        <f aca="false">IF(AND(DATE(2026,9,7)&gt;=T$7,DATE(2026,9,7)&lt;=T$6,DATE(2026,9,7)&gt;$C$7),1,0)</f>
        <v>0</v>
      </c>
      <c r="U35" s="106" t="n">
        <f aca="false">SUM(H35:T35)</f>
        <v>0</v>
      </c>
    </row>
    <row r="36" customFormat="false" ht="15" hidden="false" customHeight="false" outlineLevel="1" collapsed="false">
      <c r="A36" s="14" t="s">
        <v>699</v>
      </c>
      <c r="H36" s="106" t="n">
        <f aca="false">IF(AND(DATE(2026,10,5)&gt;=H$7,DATE(2026,10,5)&lt;=H$6,DATE(2026,10,5)&gt;$C$7),1,0)</f>
        <v>0</v>
      </c>
      <c r="I36" s="106" t="n">
        <f aca="false">IF(AND(DATE(2026,10,5)&gt;=I$7,DATE(2026,10,5)&lt;=I$6,DATE(2026,10,5)&gt;$C$7),1,0)</f>
        <v>0</v>
      </c>
      <c r="J36" s="106" t="n">
        <f aca="false">IF(AND(DATE(2026,10,5)&gt;=J$7,DATE(2026,10,5)&lt;=J$6,DATE(2026,10,5)&gt;$C$7),1,0)</f>
        <v>0</v>
      </c>
      <c r="K36" s="106" t="n">
        <f aca="false">IF(AND(DATE(2026,10,5)&gt;=K$7,DATE(2026,10,5)&lt;=K$6,DATE(2026,10,5)&gt;$C$7),1,0)</f>
        <v>1</v>
      </c>
      <c r="L36" s="106" t="n">
        <f aca="false">IF(AND(DATE(2026,10,5)&gt;=L$7,DATE(2026,10,5)&lt;=L$6,DATE(2026,10,5)&gt;$C$7),1,0)</f>
        <v>0</v>
      </c>
      <c r="M36" s="106" t="n">
        <f aca="false">IF(AND(DATE(2026,10,5)&gt;=M$7,DATE(2026,10,5)&lt;=M$6,DATE(2026,10,5)&gt;$C$7),1,0)</f>
        <v>0</v>
      </c>
      <c r="N36" s="106" t="n">
        <f aca="false">IF(AND(DATE(2026,10,5)&gt;=N$7,DATE(2026,10,5)&lt;=N$6,DATE(2026,10,5)&gt;$C$7),1,0)</f>
        <v>0</v>
      </c>
      <c r="O36" s="106" t="n">
        <f aca="false">IF(AND(DATE(2026,10,5)&gt;=O$7,DATE(2026,10,5)&lt;=O$6,DATE(2026,10,5)&gt;$C$7),1,0)</f>
        <v>0</v>
      </c>
      <c r="P36" s="106" t="n">
        <f aca="false">IF(AND(DATE(2026,10,5)&gt;=P$7,DATE(2026,10,5)&lt;=P$6,DATE(2026,10,5)&gt;$C$7),1,0)</f>
        <v>0</v>
      </c>
      <c r="Q36" s="106" t="n">
        <f aca="false">IF(AND(DATE(2026,10,5)&gt;=Q$7,DATE(2026,10,5)&lt;=Q$6,DATE(2026,10,5)&gt;$C$7),1,0)</f>
        <v>0</v>
      </c>
      <c r="R36" s="106" t="n">
        <f aca="false">IF(AND(DATE(2026,10,5)&gt;=R$7,DATE(2026,10,5)&lt;=R$6,DATE(2026,10,5)&gt;$C$7),1,0)</f>
        <v>0</v>
      </c>
      <c r="S36" s="106" t="n">
        <f aca="false">IF(AND(DATE(2026,10,5)&gt;=S$7,DATE(2026,10,5)&lt;=S$6,DATE(2026,10,5)&gt;$C$7),1,0)</f>
        <v>0</v>
      </c>
      <c r="T36" s="106" t="n">
        <f aca="false">IF(AND(DATE(2026,10,5)&gt;=T$7,DATE(2026,10,5)&lt;=T$6,DATE(2026,10,5)&gt;$C$7),1,0)</f>
        <v>0</v>
      </c>
      <c r="U36" s="106" t="n">
        <f aca="false">SUM(H36:T36)</f>
        <v>1</v>
      </c>
    </row>
    <row r="37" customFormat="false" ht="15" hidden="false" customHeight="false" outlineLevel="1" collapsed="false">
      <c r="A37" s="14" t="s">
        <v>700</v>
      </c>
      <c r="H37" s="106" t="n">
        <f aca="false">IF(AND(DATE(2026,11,5)&gt;=H$7,DATE(2026,11,5)&lt;=H$6,DATE(2026,11,5)&gt;$C$7),1,0)</f>
        <v>0</v>
      </c>
      <c r="I37" s="106" t="n">
        <f aca="false">IF(AND(DATE(2026,11,5)&gt;=I$7,DATE(2026,11,5)&lt;=I$6,DATE(2026,11,5)&gt;$C$7),1,0)</f>
        <v>0</v>
      </c>
      <c r="J37" s="106" t="n">
        <f aca="false">IF(AND(DATE(2026,11,5)&gt;=J$7,DATE(2026,11,5)&lt;=J$6,DATE(2026,11,5)&gt;$C$7),1,0)</f>
        <v>0</v>
      </c>
      <c r="K37" s="106" t="n">
        <f aca="false">IF(AND(DATE(2026,11,5)&gt;=K$7,DATE(2026,11,5)&lt;=K$6,DATE(2026,11,5)&gt;$C$7),1,0)</f>
        <v>0</v>
      </c>
      <c r="L37" s="106" t="n">
        <f aca="false">IF(AND(DATE(2026,11,5)&gt;=L$7,DATE(2026,11,5)&lt;=L$6,DATE(2026,11,5)&gt;$C$7),1,0)</f>
        <v>0</v>
      </c>
      <c r="M37" s="106" t="n">
        <f aca="false">IF(AND(DATE(2026,11,5)&gt;=M$7,DATE(2026,11,5)&lt;=M$6,DATE(2026,11,5)&gt;$C$7),1,0)</f>
        <v>0</v>
      </c>
      <c r="N37" s="106" t="n">
        <f aca="false">IF(AND(DATE(2026,11,5)&gt;=N$7,DATE(2026,11,5)&lt;=N$6,DATE(2026,11,5)&gt;$C$7),1,0)</f>
        <v>0</v>
      </c>
      <c r="O37" s="106" t="n">
        <f aca="false">IF(AND(DATE(2026,11,5)&gt;=O$7,DATE(2026,11,5)&lt;=O$6,DATE(2026,11,5)&gt;$C$7),1,0)</f>
        <v>1</v>
      </c>
      <c r="P37" s="106" t="n">
        <f aca="false">IF(AND(DATE(2026,11,5)&gt;=P$7,DATE(2026,11,5)&lt;=P$6,DATE(2026,11,5)&gt;$C$7),1,0)</f>
        <v>0</v>
      </c>
      <c r="Q37" s="106" t="n">
        <f aca="false">IF(AND(DATE(2026,11,5)&gt;=Q$7,DATE(2026,11,5)&lt;=Q$6,DATE(2026,11,5)&gt;$C$7),1,0)</f>
        <v>0</v>
      </c>
      <c r="R37" s="106" t="n">
        <f aca="false">IF(AND(DATE(2026,11,5)&gt;=R$7,DATE(2026,11,5)&lt;=R$6,DATE(2026,11,5)&gt;$C$7),1,0)</f>
        <v>0</v>
      </c>
      <c r="S37" s="106" t="n">
        <f aca="false">IF(AND(DATE(2026,11,5)&gt;=S$7,DATE(2026,11,5)&lt;=S$6,DATE(2026,11,5)&gt;$C$7),1,0)</f>
        <v>0</v>
      </c>
      <c r="T37" s="106" t="n">
        <f aca="false">IF(AND(DATE(2026,11,5)&gt;=T$7,DATE(2026,11,5)&lt;=T$6,DATE(2026,11,5)&gt;$C$7),1,0)</f>
        <v>0</v>
      </c>
      <c r="U37" s="106" t="n">
        <f aca="false">SUM(H37:T37)</f>
        <v>1</v>
      </c>
    </row>
    <row r="38" customFormat="false" ht="15" hidden="false" customHeight="false" outlineLevel="1" collapsed="false">
      <c r="A38" s="14" t="s">
        <v>701</v>
      </c>
      <c r="H38" s="106" t="n">
        <f aca="false">IF(AND(DATE(2026,12,7)&gt;=H$7,DATE(2026,12,7)&lt;=H$6,DATE(2026,12,7)&gt;$C$7),1,0)</f>
        <v>0</v>
      </c>
      <c r="I38" s="106" t="n">
        <f aca="false">IF(AND(DATE(2026,12,7)&gt;=I$7,DATE(2026,12,7)&lt;=I$6,DATE(2026,12,7)&gt;$C$7),1,0)</f>
        <v>0</v>
      </c>
      <c r="J38" s="106" t="n">
        <f aca="false">IF(AND(DATE(2026,12,7)&gt;=J$7,DATE(2026,12,7)&lt;=J$6,DATE(2026,12,7)&gt;$C$7),1,0)</f>
        <v>0</v>
      </c>
      <c r="K38" s="106" t="n">
        <f aca="false">IF(AND(DATE(2026,12,7)&gt;=K$7,DATE(2026,12,7)&lt;=K$6,DATE(2026,12,7)&gt;$C$7),1,0)</f>
        <v>0</v>
      </c>
      <c r="L38" s="106" t="n">
        <f aca="false">IF(AND(DATE(2026,12,7)&gt;=L$7,DATE(2026,12,7)&lt;=L$6,DATE(2026,12,7)&gt;$C$7),1,0)</f>
        <v>0</v>
      </c>
      <c r="M38" s="106" t="n">
        <f aca="false">IF(AND(DATE(2026,12,7)&gt;=M$7,DATE(2026,12,7)&lt;=M$6,DATE(2026,12,7)&gt;$C$7),1,0)</f>
        <v>0</v>
      </c>
      <c r="N38" s="106" t="n">
        <f aca="false">IF(AND(DATE(2026,12,7)&gt;=N$7,DATE(2026,12,7)&lt;=N$6,DATE(2026,12,7)&gt;$C$7),1,0)</f>
        <v>0</v>
      </c>
      <c r="O38" s="106" t="n">
        <f aca="false">IF(AND(DATE(2026,12,7)&gt;=O$7,DATE(2026,12,7)&lt;=O$6,DATE(2026,12,7)&gt;$C$7),1,0)</f>
        <v>0</v>
      </c>
      <c r="P38" s="106" t="n">
        <f aca="false">IF(AND(DATE(2026,12,7)&gt;=P$7,DATE(2026,12,7)&lt;=P$6,DATE(2026,12,7)&gt;$C$7),1,0)</f>
        <v>0</v>
      </c>
      <c r="Q38" s="106" t="n">
        <f aca="false">IF(AND(DATE(2026,12,7)&gt;=Q$7,DATE(2026,12,7)&lt;=Q$6,DATE(2026,12,7)&gt;$C$7),1,0)</f>
        <v>0</v>
      </c>
      <c r="R38" s="106" t="n">
        <f aca="false">IF(AND(DATE(2026,12,7)&gt;=R$7,DATE(2026,12,7)&lt;=R$6,DATE(2026,12,7)&gt;$C$7),1,0)</f>
        <v>0</v>
      </c>
      <c r="S38" s="106" t="n">
        <f aca="false">IF(AND(DATE(2026,12,7)&gt;=S$7,DATE(2026,12,7)&lt;=S$6,DATE(2026,12,7)&gt;$C$7),1,0)</f>
        <v>0</v>
      </c>
      <c r="T38" s="106" t="n">
        <f aca="false">IF(AND(DATE(2026,12,7)&gt;=T$7,DATE(2026,12,7)&lt;=T$6,DATE(2026,12,7)&gt;$C$7),1,0)</f>
        <v>1</v>
      </c>
      <c r="U38" s="106" t="n">
        <f aca="false">SUM(H38:T38)</f>
        <v>1</v>
      </c>
    </row>
    <row r="39" customFormat="false" ht="15" hidden="false" customHeight="false" outlineLevel="1" collapsed="false">
      <c r="A39" s="14" t="s">
        <v>702</v>
      </c>
      <c r="H39" s="106" t="n">
        <f aca="false">IF(AND(DATE(2026,9,25)&gt;=H$7,DATE(2026,9,25)&lt;=H$6,DATE(2026,9,25)&gt;$C$7),1,0)</f>
        <v>0</v>
      </c>
      <c r="I39" s="106" t="n">
        <f aca="false">IF(AND(DATE(2026,9,25)&gt;=I$7,DATE(2026,9,25)&lt;=I$6,DATE(2026,9,25)&gt;$C$7),1,0)</f>
        <v>1</v>
      </c>
      <c r="J39" s="106" t="n">
        <f aca="false">IF(AND(DATE(2026,9,25)&gt;=J$7,DATE(2026,9,25)&lt;=J$6,DATE(2026,9,25)&gt;$C$7),1,0)</f>
        <v>0</v>
      </c>
      <c r="K39" s="106" t="n">
        <f aca="false">IF(AND(DATE(2026,9,25)&gt;=K$7,DATE(2026,9,25)&lt;=K$6,DATE(2026,9,25)&gt;$C$7),1,0)</f>
        <v>0</v>
      </c>
      <c r="L39" s="106" t="n">
        <f aca="false">IF(AND(DATE(2026,9,25)&gt;=L$7,DATE(2026,9,25)&lt;=L$6,DATE(2026,9,25)&gt;$C$7),1,0)</f>
        <v>0</v>
      </c>
      <c r="M39" s="106" t="n">
        <f aca="false">IF(AND(DATE(2026,9,25)&gt;=M$7,DATE(2026,9,25)&lt;=M$6,DATE(2026,9,25)&gt;$C$7),1,0)</f>
        <v>0</v>
      </c>
      <c r="N39" s="106" t="n">
        <f aca="false">IF(AND(DATE(2026,9,25)&gt;=N$7,DATE(2026,9,25)&lt;=N$6,DATE(2026,9,25)&gt;$C$7),1,0)</f>
        <v>0</v>
      </c>
      <c r="O39" s="106" t="n">
        <f aca="false">IF(AND(DATE(2026,9,25)&gt;=O$7,DATE(2026,9,25)&lt;=O$6,DATE(2026,9,25)&gt;$C$7),1,0)</f>
        <v>0</v>
      </c>
      <c r="P39" s="106" t="n">
        <f aca="false">IF(AND(DATE(2026,9,25)&gt;=P$7,DATE(2026,9,25)&lt;=P$6,DATE(2026,9,25)&gt;$C$7),1,0)</f>
        <v>0</v>
      </c>
      <c r="Q39" s="106" t="n">
        <f aca="false">IF(AND(DATE(2026,9,25)&gt;=Q$7,DATE(2026,9,25)&lt;=Q$6,DATE(2026,9,25)&gt;$C$7),1,0)</f>
        <v>0</v>
      </c>
      <c r="R39" s="106" t="n">
        <f aca="false">IF(AND(DATE(2026,9,25)&gt;=R$7,DATE(2026,9,25)&lt;=R$6,DATE(2026,9,25)&gt;$C$7),1,0)</f>
        <v>0</v>
      </c>
      <c r="S39" s="106" t="n">
        <f aca="false">IF(AND(DATE(2026,9,25)&gt;=S$7,DATE(2026,9,25)&lt;=S$6,DATE(2026,9,25)&gt;$C$7),1,0)</f>
        <v>0</v>
      </c>
      <c r="T39" s="106" t="n">
        <f aca="false">IF(AND(DATE(2026,9,25)&gt;=T$7,DATE(2026,9,25)&lt;=T$6,DATE(2026,9,25)&gt;$C$7),1,0)</f>
        <v>0</v>
      </c>
      <c r="U39" s="106" t="n">
        <f aca="false">SUM(H39:T39)</f>
        <v>1</v>
      </c>
    </row>
    <row r="40" customFormat="false" ht="15" hidden="false" customHeight="false" outlineLevel="1" collapsed="false">
      <c r="A40" s="14" t="s">
        <v>703</v>
      </c>
      <c r="H40" s="106" t="n">
        <f aca="false">IF(AND(DATE(2026,10,23)&gt;=H$7,DATE(2026,10,23)&lt;=H$6,DATE(2026,10,23)&gt;$C$7),1,0)</f>
        <v>0</v>
      </c>
      <c r="I40" s="106" t="n">
        <f aca="false">IF(AND(DATE(2026,10,23)&gt;=I$7,DATE(2026,10,23)&lt;=I$6,DATE(2026,10,23)&gt;$C$7),1,0)</f>
        <v>0</v>
      </c>
      <c r="J40" s="106" t="n">
        <f aca="false">IF(AND(DATE(2026,10,23)&gt;=J$7,DATE(2026,10,23)&lt;=J$6,DATE(2026,10,23)&gt;$C$7),1,0)</f>
        <v>0</v>
      </c>
      <c r="K40" s="106" t="n">
        <f aca="false">IF(AND(DATE(2026,10,23)&gt;=K$7,DATE(2026,10,23)&lt;=K$6,DATE(2026,10,23)&gt;$C$7),1,0)</f>
        <v>0</v>
      </c>
      <c r="L40" s="106" t="n">
        <f aca="false">IF(AND(DATE(2026,10,23)&gt;=L$7,DATE(2026,10,23)&lt;=L$6,DATE(2026,10,23)&gt;$C$7),1,0)</f>
        <v>0</v>
      </c>
      <c r="M40" s="106" t="n">
        <f aca="false">IF(AND(DATE(2026,10,23)&gt;=M$7,DATE(2026,10,23)&lt;=M$6,DATE(2026,10,23)&gt;$C$7),1,0)</f>
        <v>1</v>
      </c>
      <c r="N40" s="106" t="n">
        <f aca="false">IF(AND(DATE(2026,10,23)&gt;=N$7,DATE(2026,10,23)&lt;=N$6,DATE(2026,10,23)&gt;$C$7),1,0)</f>
        <v>0</v>
      </c>
      <c r="O40" s="106" t="n">
        <f aca="false">IF(AND(DATE(2026,10,23)&gt;=O$7,DATE(2026,10,23)&lt;=O$6,DATE(2026,10,23)&gt;$C$7),1,0)</f>
        <v>0</v>
      </c>
      <c r="P40" s="106" t="n">
        <f aca="false">IF(AND(DATE(2026,10,23)&gt;=P$7,DATE(2026,10,23)&lt;=P$6,DATE(2026,10,23)&gt;$C$7),1,0)</f>
        <v>0</v>
      </c>
      <c r="Q40" s="106" t="n">
        <f aca="false">IF(AND(DATE(2026,10,23)&gt;=Q$7,DATE(2026,10,23)&lt;=Q$6,DATE(2026,10,23)&gt;$C$7),1,0)</f>
        <v>0</v>
      </c>
      <c r="R40" s="106" t="n">
        <f aca="false">IF(AND(DATE(2026,10,23)&gt;=R$7,DATE(2026,10,23)&lt;=R$6,DATE(2026,10,23)&gt;$C$7),1,0)</f>
        <v>0</v>
      </c>
      <c r="S40" s="106" t="n">
        <f aca="false">IF(AND(DATE(2026,10,23)&gt;=S$7,DATE(2026,10,23)&lt;=S$6,DATE(2026,10,23)&gt;$C$7),1,0)</f>
        <v>0</v>
      </c>
      <c r="T40" s="106" t="n">
        <f aca="false">IF(AND(DATE(2026,10,23)&gt;=T$7,DATE(2026,10,23)&lt;=T$6,DATE(2026,10,23)&gt;$C$7),1,0)</f>
        <v>0</v>
      </c>
      <c r="U40" s="106" t="n">
        <f aca="false">SUM(H40:T40)</f>
        <v>1</v>
      </c>
    </row>
    <row r="41" customFormat="false" ht="15" hidden="false" customHeight="false" outlineLevel="1" collapsed="false">
      <c r="A41" s="14" t="s">
        <v>704</v>
      </c>
      <c r="H41" s="106" t="n">
        <f aca="false">IF(AND(DATE(2026,11,25)&gt;=H$7,DATE(2026,11,25)&lt;=H$6,DATE(2026,11,25)&gt;$C$7),1,0)</f>
        <v>0</v>
      </c>
      <c r="I41" s="106" t="n">
        <f aca="false">IF(AND(DATE(2026,11,25)&gt;=I$7,DATE(2026,11,25)&lt;=I$6,DATE(2026,11,25)&gt;$C$7),1,0)</f>
        <v>0</v>
      </c>
      <c r="J41" s="106" t="n">
        <f aca="false">IF(AND(DATE(2026,11,25)&gt;=J$7,DATE(2026,11,25)&lt;=J$6,DATE(2026,11,25)&gt;$C$7),1,0)</f>
        <v>0</v>
      </c>
      <c r="K41" s="106" t="n">
        <f aca="false">IF(AND(DATE(2026,11,25)&gt;=K$7,DATE(2026,11,25)&lt;=K$6,DATE(2026,11,25)&gt;$C$7),1,0)</f>
        <v>0</v>
      </c>
      <c r="L41" s="106" t="n">
        <f aca="false">IF(AND(DATE(2026,11,25)&gt;=L$7,DATE(2026,11,25)&lt;=L$6,DATE(2026,11,25)&gt;$C$7),1,0)</f>
        <v>0</v>
      </c>
      <c r="M41" s="106" t="n">
        <f aca="false">IF(AND(DATE(2026,11,25)&gt;=M$7,DATE(2026,11,25)&lt;=M$6,DATE(2026,11,25)&gt;$C$7),1,0)</f>
        <v>0</v>
      </c>
      <c r="N41" s="106" t="n">
        <f aca="false">IF(AND(DATE(2026,11,25)&gt;=N$7,DATE(2026,11,25)&lt;=N$6,DATE(2026,11,25)&gt;$C$7),1,0)</f>
        <v>0</v>
      </c>
      <c r="O41" s="106" t="n">
        <f aca="false">IF(AND(DATE(2026,11,25)&gt;=O$7,DATE(2026,11,25)&lt;=O$6,DATE(2026,11,25)&gt;$C$7),1,0)</f>
        <v>0</v>
      </c>
      <c r="P41" s="106" t="n">
        <f aca="false">IF(AND(DATE(2026,11,25)&gt;=P$7,DATE(2026,11,25)&lt;=P$6,DATE(2026,11,25)&gt;$C$7),1,0)</f>
        <v>0</v>
      </c>
      <c r="Q41" s="106" t="n">
        <f aca="false">IF(AND(DATE(2026,11,25)&gt;=Q$7,DATE(2026,11,25)&lt;=Q$6,DATE(2026,11,25)&gt;$C$7),1,0)</f>
        <v>0</v>
      </c>
      <c r="R41" s="106" t="n">
        <f aca="false">IF(AND(DATE(2026,11,25)&gt;=R$7,DATE(2026,11,25)&lt;=R$6,DATE(2026,11,25)&gt;$C$7),1,0)</f>
        <v>1</v>
      </c>
      <c r="S41" s="106" t="n">
        <f aca="false">IF(AND(DATE(2026,11,25)&gt;=S$7,DATE(2026,11,25)&lt;=S$6,DATE(2026,11,25)&gt;$C$7),1,0)</f>
        <v>0</v>
      </c>
      <c r="T41" s="106" t="n">
        <f aca="false">IF(AND(DATE(2026,11,25)&gt;=T$7,DATE(2026,11,25)&lt;=T$6,DATE(2026,11,25)&gt;$C$7),1,0)</f>
        <v>0</v>
      </c>
      <c r="U41" s="106" t="n">
        <f aca="false">SUM(H41:T41)</f>
        <v>1</v>
      </c>
    </row>
    <row r="42" customFormat="false" ht="15" hidden="false" customHeight="false" outlineLevel="1" collapsed="false">
      <c r="A42" s="14" t="s">
        <v>705</v>
      </c>
      <c r="H42" s="106" t="n">
        <f aca="false">IF(AND(DATE(2026,12,24)&gt;=H$7,DATE(2026,12,24)&lt;=H$6,DATE(2026,12,24)&gt;$C$7),1,0)</f>
        <v>0</v>
      </c>
      <c r="I42" s="106" t="n">
        <f aca="false">IF(AND(DATE(2026,12,24)&gt;=I$7,DATE(2026,12,24)&lt;=I$6,DATE(2026,12,24)&gt;$C$7),1,0)</f>
        <v>0</v>
      </c>
      <c r="J42" s="106" t="n">
        <f aca="false">IF(AND(DATE(2026,12,24)&gt;=J$7,DATE(2026,12,24)&lt;=J$6,DATE(2026,12,24)&gt;$C$7),1,0)</f>
        <v>0</v>
      </c>
      <c r="K42" s="106" t="n">
        <f aca="false">IF(AND(DATE(2026,12,24)&gt;=K$7,DATE(2026,12,24)&lt;=K$6,DATE(2026,12,24)&gt;$C$7),1,0)</f>
        <v>0</v>
      </c>
      <c r="L42" s="106" t="n">
        <f aca="false">IF(AND(DATE(2026,12,24)&gt;=L$7,DATE(2026,12,24)&lt;=L$6,DATE(2026,12,24)&gt;$C$7),1,0)</f>
        <v>0</v>
      </c>
      <c r="M42" s="106" t="n">
        <f aca="false">IF(AND(DATE(2026,12,24)&gt;=M$7,DATE(2026,12,24)&lt;=M$6,DATE(2026,12,24)&gt;$C$7),1,0)</f>
        <v>0</v>
      </c>
      <c r="N42" s="106" t="n">
        <f aca="false">IF(AND(DATE(2026,12,24)&gt;=N$7,DATE(2026,12,24)&lt;=N$6,DATE(2026,12,24)&gt;$C$7),1,0)</f>
        <v>0</v>
      </c>
      <c r="O42" s="106" t="n">
        <f aca="false">IF(AND(DATE(2026,12,24)&gt;=O$7,DATE(2026,12,24)&lt;=O$6,DATE(2026,12,24)&gt;$C$7),1,0)</f>
        <v>0</v>
      </c>
      <c r="P42" s="106" t="n">
        <f aca="false">IF(AND(DATE(2026,12,24)&gt;=P$7,DATE(2026,12,24)&lt;=P$6,DATE(2026,12,24)&gt;$C$7),1,0)</f>
        <v>0</v>
      </c>
      <c r="Q42" s="106" t="n">
        <f aca="false">IF(AND(DATE(2026,12,24)&gt;=Q$7,DATE(2026,12,24)&lt;=Q$6,DATE(2026,12,24)&gt;$C$7),1,0)</f>
        <v>0</v>
      </c>
      <c r="R42" s="106" t="n">
        <f aca="false">IF(AND(DATE(2026,12,24)&gt;=R$7,DATE(2026,12,24)&lt;=R$6,DATE(2026,12,24)&gt;$C$7),1,0)</f>
        <v>0</v>
      </c>
      <c r="S42" s="106" t="n">
        <f aca="false">IF(AND(DATE(2026,12,24)&gt;=S$7,DATE(2026,12,24)&lt;=S$6,DATE(2026,12,24)&gt;$C$7),1,0)</f>
        <v>0</v>
      </c>
      <c r="T42" s="106" t="n">
        <f aca="false">IF(AND(DATE(2026,12,24)&gt;=T$7,DATE(2026,12,24)&lt;=T$6,DATE(2026,12,24)&gt;$C$7),1,0)</f>
        <v>0</v>
      </c>
      <c r="U42" s="106" t="n">
        <f aca="false">SUM(H42:T42)</f>
        <v>0</v>
      </c>
    </row>
    <row r="43" customFormat="false" ht="15" hidden="false" customHeight="false" outlineLevel="1" collapsed="false">
      <c r="A43" s="14" t="s">
        <v>706</v>
      </c>
      <c r="H43" s="106" t="n">
        <f aca="false">IF(AND(DATE(2026,9,15)&gt;=H$7,DATE(2026,9,15)&lt;=H$6,DATE(2026,9,15)&gt;$C$7),1,0)</f>
        <v>1</v>
      </c>
      <c r="I43" s="106" t="n">
        <f aca="false">IF(AND(DATE(2026,9,15)&gt;=I$7,DATE(2026,9,15)&lt;=I$6,DATE(2026,9,15)&gt;$C$7),1,0)</f>
        <v>0</v>
      </c>
      <c r="J43" s="106" t="n">
        <f aca="false">IF(AND(DATE(2026,9,15)&gt;=J$7,DATE(2026,9,15)&lt;=J$6,DATE(2026,9,15)&gt;$C$7),1,0)</f>
        <v>0</v>
      </c>
      <c r="K43" s="106" t="n">
        <f aca="false">IF(AND(DATE(2026,9,15)&gt;=K$7,DATE(2026,9,15)&lt;=K$6,DATE(2026,9,15)&gt;$C$7),1,0)</f>
        <v>0</v>
      </c>
      <c r="L43" s="106" t="n">
        <f aca="false">IF(AND(DATE(2026,9,15)&gt;=L$7,DATE(2026,9,15)&lt;=L$6,DATE(2026,9,15)&gt;$C$7),1,0)</f>
        <v>0</v>
      </c>
      <c r="M43" s="106" t="n">
        <f aca="false">IF(AND(DATE(2026,9,15)&gt;=M$7,DATE(2026,9,15)&lt;=M$6,DATE(2026,9,15)&gt;$C$7),1,0)</f>
        <v>0</v>
      </c>
      <c r="N43" s="106" t="n">
        <f aca="false">IF(AND(DATE(2026,9,15)&gt;=N$7,DATE(2026,9,15)&lt;=N$6,DATE(2026,9,15)&gt;$C$7),1,0)</f>
        <v>0</v>
      </c>
      <c r="O43" s="106" t="n">
        <f aca="false">IF(AND(DATE(2026,9,15)&gt;=O$7,DATE(2026,9,15)&lt;=O$6,DATE(2026,9,15)&gt;$C$7),1,0)</f>
        <v>0</v>
      </c>
      <c r="P43" s="106" t="n">
        <f aca="false">IF(AND(DATE(2026,9,15)&gt;=P$7,DATE(2026,9,15)&lt;=P$6,DATE(2026,9,15)&gt;$C$7),1,0)</f>
        <v>0</v>
      </c>
      <c r="Q43" s="106" t="n">
        <f aca="false">IF(AND(DATE(2026,9,15)&gt;=Q$7,DATE(2026,9,15)&lt;=Q$6,DATE(2026,9,15)&gt;$C$7),1,0)</f>
        <v>0</v>
      </c>
      <c r="R43" s="106" t="n">
        <f aca="false">IF(AND(DATE(2026,9,15)&gt;=R$7,DATE(2026,9,15)&lt;=R$6,DATE(2026,9,15)&gt;$C$7),1,0)</f>
        <v>0</v>
      </c>
      <c r="S43" s="106" t="n">
        <f aca="false">IF(AND(DATE(2026,9,15)&gt;=S$7,DATE(2026,9,15)&lt;=S$6,DATE(2026,9,15)&gt;$C$7),1,0)</f>
        <v>0</v>
      </c>
      <c r="T43" s="106" t="n">
        <f aca="false">IF(AND(DATE(2026,9,15)&gt;=T$7,DATE(2026,9,15)&lt;=T$6,DATE(2026,9,15)&gt;$C$7),1,0)</f>
        <v>0</v>
      </c>
      <c r="U43" s="106" t="n">
        <f aca="false">SUM(H43:T43)</f>
        <v>1</v>
      </c>
    </row>
    <row r="44" customFormat="false" ht="15" hidden="false" customHeight="false" outlineLevel="1" collapsed="false">
      <c r="A44" s="14" t="s">
        <v>707</v>
      </c>
      <c r="H44" s="106" t="n">
        <f aca="false">IF(AND(DATE(2026,10,15)&gt;=H$7,DATE(2026,10,15)&lt;=H$6,DATE(2026,10,15)&gt;$C$7),1,0)</f>
        <v>0</v>
      </c>
      <c r="I44" s="106" t="n">
        <f aca="false">IF(AND(DATE(2026,10,15)&gt;=I$7,DATE(2026,10,15)&lt;=I$6,DATE(2026,10,15)&gt;$C$7),1,0)</f>
        <v>0</v>
      </c>
      <c r="J44" s="106" t="n">
        <f aca="false">IF(AND(DATE(2026,10,15)&gt;=J$7,DATE(2026,10,15)&lt;=J$6,DATE(2026,10,15)&gt;$C$7),1,0)</f>
        <v>0</v>
      </c>
      <c r="K44" s="106" t="n">
        <f aca="false">IF(AND(DATE(2026,10,15)&gt;=K$7,DATE(2026,10,15)&lt;=K$6,DATE(2026,10,15)&gt;$C$7),1,0)</f>
        <v>0</v>
      </c>
      <c r="L44" s="106" t="n">
        <f aca="false">IF(AND(DATE(2026,10,15)&gt;=L$7,DATE(2026,10,15)&lt;=L$6,DATE(2026,10,15)&gt;$C$7),1,0)</f>
        <v>1</v>
      </c>
      <c r="M44" s="106" t="n">
        <f aca="false">IF(AND(DATE(2026,10,15)&gt;=M$7,DATE(2026,10,15)&lt;=M$6,DATE(2026,10,15)&gt;$C$7),1,0)</f>
        <v>0</v>
      </c>
      <c r="N44" s="106" t="n">
        <f aca="false">IF(AND(DATE(2026,10,15)&gt;=N$7,DATE(2026,10,15)&lt;=N$6,DATE(2026,10,15)&gt;$C$7),1,0)</f>
        <v>0</v>
      </c>
      <c r="O44" s="106" t="n">
        <f aca="false">IF(AND(DATE(2026,10,15)&gt;=O$7,DATE(2026,10,15)&lt;=O$6,DATE(2026,10,15)&gt;$C$7),1,0)</f>
        <v>0</v>
      </c>
      <c r="P44" s="106" t="n">
        <f aca="false">IF(AND(DATE(2026,10,15)&gt;=P$7,DATE(2026,10,15)&lt;=P$6,DATE(2026,10,15)&gt;$C$7),1,0)</f>
        <v>0</v>
      </c>
      <c r="Q44" s="106" t="n">
        <f aca="false">IF(AND(DATE(2026,10,15)&gt;=Q$7,DATE(2026,10,15)&lt;=Q$6,DATE(2026,10,15)&gt;$C$7),1,0)</f>
        <v>0</v>
      </c>
      <c r="R44" s="106" t="n">
        <f aca="false">IF(AND(DATE(2026,10,15)&gt;=R$7,DATE(2026,10,15)&lt;=R$6,DATE(2026,10,15)&gt;$C$7),1,0)</f>
        <v>0</v>
      </c>
      <c r="S44" s="106" t="n">
        <f aca="false">IF(AND(DATE(2026,10,15)&gt;=S$7,DATE(2026,10,15)&lt;=S$6,DATE(2026,10,15)&gt;$C$7),1,0)</f>
        <v>0</v>
      </c>
      <c r="T44" s="106" t="n">
        <f aca="false">IF(AND(DATE(2026,10,15)&gt;=T$7,DATE(2026,10,15)&lt;=T$6,DATE(2026,10,15)&gt;$C$7),1,0)</f>
        <v>0</v>
      </c>
      <c r="U44" s="106" t="n">
        <f aca="false">SUM(H44:T44)</f>
        <v>1</v>
      </c>
    </row>
    <row r="45" customFormat="false" ht="15" hidden="false" customHeight="false" outlineLevel="1" collapsed="false">
      <c r="A45" s="14" t="s">
        <v>708</v>
      </c>
      <c r="H45" s="106" t="n">
        <f aca="false">IF(AND(DATE(2026,11,16)&gt;=H$7,DATE(2026,11,16)&lt;=H$6,DATE(2026,11,16)&gt;$C$7),1,0)</f>
        <v>0</v>
      </c>
      <c r="I45" s="106" t="n">
        <f aca="false">IF(AND(DATE(2026,11,16)&gt;=I$7,DATE(2026,11,16)&lt;=I$6,DATE(2026,11,16)&gt;$C$7),1,0)</f>
        <v>0</v>
      </c>
      <c r="J45" s="106" t="n">
        <f aca="false">IF(AND(DATE(2026,11,16)&gt;=J$7,DATE(2026,11,16)&lt;=J$6,DATE(2026,11,16)&gt;$C$7),1,0)</f>
        <v>0</v>
      </c>
      <c r="K45" s="106" t="n">
        <f aca="false">IF(AND(DATE(2026,11,16)&gt;=K$7,DATE(2026,11,16)&lt;=K$6,DATE(2026,11,16)&gt;$C$7),1,0)</f>
        <v>0</v>
      </c>
      <c r="L45" s="106" t="n">
        <f aca="false">IF(AND(DATE(2026,11,16)&gt;=L$7,DATE(2026,11,16)&lt;=L$6,DATE(2026,11,16)&gt;$C$7),1,0)</f>
        <v>0</v>
      </c>
      <c r="M45" s="106" t="n">
        <f aca="false">IF(AND(DATE(2026,11,16)&gt;=M$7,DATE(2026,11,16)&lt;=M$6,DATE(2026,11,16)&gt;$C$7),1,0)</f>
        <v>0</v>
      </c>
      <c r="N45" s="106" t="n">
        <f aca="false">IF(AND(DATE(2026,11,16)&gt;=N$7,DATE(2026,11,16)&lt;=N$6,DATE(2026,11,16)&gt;$C$7),1,0)</f>
        <v>0</v>
      </c>
      <c r="O45" s="106" t="n">
        <f aca="false">IF(AND(DATE(2026,11,16)&gt;=O$7,DATE(2026,11,16)&lt;=O$6,DATE(2026,11,16)&gt;$C$7),1,0)</f>
        <v>0</v>
      </c>
      <c r="P45" s="106" t="n">
        <f aca="false">IF(AND(DATE(2026,11,16)&gt;=P$7,DATE(2026,11,16)&lt;=P$6,DATE(2026,11,16)&gt;$C$7),1,0)</f>
        <v>0</v>
      </c>
      <c r="Q45" s="106" t="n">
        <f aca="false">IF(AND(DATE(2026,11,16)&gt;=Q$7,DATE(2026,11,16)&lt;=Q$6,DATE(2026,11,16)&gt;$C$7),1,0)</f>
        <v>1</v>
      </c>
      <c r="R45" s="106" t="n">
        <f aca="false">IF(AND(DATE(2026,11,16)&gt;=R$7,DATE(2026,11,16)&lt;=R$6,DATE(2026,11,16)&gt;$C$7),1,0)</f>
        <v>0</v>
      </c>
      <c r="S45" s="106" t="n">
        <f aca="false">IF(AND(DATE(2026,11,16)&gt;=S$7,DATE(2026,11,16)&lt;=S$6,DATE(2026,11,16)&gt;$C$7),1,0)</f>
        <v>0</v>
      </c>
      <c r="T45" s="106" t="n">
        <f aca="false">IF(AND(DATE(2026,11,16)&gt;=T$7,DATE(2026,11,16)&lt;=T$6,DATE(2026,11,16)&gt;$C$7),1,0)</f>
        <v>0</v>
      </c>
      <c r="U45" s="106" t="n">
        <f aca="false">SUM(H45:T45)</f>
        <v>1</v>
      </c>
    </row>
    <row r="46" customFormat="false" ht="15" hidden="false" customHeight="false" outlineLevel="1" collapsed="false">
      <c r="A46" s="14" t="s">
        <v>709</v>
      </c>
      <c r="H46" s="106" t="n">
        <f aca="false">IF(AND(DATE(2026,12,15)&gt;=H$7,DATE(2026,12,15)&lt;=H$6,DATE(2026,12,15)&gt;$C$7),1,0)</f>
        <v>0</v>
      </c>
      <c r="I46" s="106" t="n">
        <f aca="false">IF(AND(DATE(2026,12,15)&gt;=I$7,DATE(2026,12,15)&lt;=I$6,DATE(2026,12,15)&gt;$C$7),1,0)</f>
        <v>0</v>
      </c>
      <c r="J46" s="106" t="n">
        <f aca="false">IF(AND(DATE(2026,12,15)&gt;=J$7,DATE(2026,12,15)&lt;=J$6,DATE(2026,12,15)&gt;$C$7),1,0)</f>
        <v>0</v>
      </c>
      <c r="K46" s="106" t="n">
        <f aca="false">IF(AND(DATE(2026,12,15)&gt;=K$7,DATE(2026,12,15)&lt;=K$6,DATE(2026,12,15)&gt;$C$7),1,0)</f>
        <v>0</v>
      </c>
      <c r="L46" s="106" t="n">
        <f aca="false">IF(AND(DATE(2026,12,15)&gt;=L$7,DATE(2026,12,15)&lt;=L$6,DATE(2026,12,15)&gt;$C$7),1,0)</f>
        <v>0</v>
      </c>
      <c r="M46" s="106" t="n">
        <f aca="false">IF(AND(DATE(2026,12,15)&gt;=M$7,DATE(2026,12,15)&lt;=M$6,DATE(2026,12,15)&gt;$C$7),1,0)</f>
        <v>0</v>
      </c>
      <c r="N46" s="106" t="n">
        <f aca="false">IF(AND(DATE(2026,12,15)&gt;=N$7,DATE(2026,12,15)&lt;=N$6,DATE(2026,12,15)&gt;$C$7),1,0)</f>
        <v>0</v>
      </c>
      <c r="O46" s="106" t="n">
        <f aca="false">IF(AND(DATE(2026,12,15)&gt;=O$7,DATE(2026,12,15)&lt;=O$6,DATE(2026,12,15)&gt;$C$7),1,0)</f>
        <v>0</v>
      </c>
      <c r="P46" s="106" t="n">
        <f aca="false">IF(AND(DATE(2026,12,15)&gt;=P$7,DATE(2026,12,15)&lt;=P$6,DATE(2026,12,15)&gt;$C$7),1,0)</f>
        <v>0</v>
      </c>
      <c r="Q46" s="106" t="n">
        <f aca="false">IF(AND(DATE(2026,12,15)&gt;=Q$7,DATE(2026,12,15)&lt;=Q$6,DATE(2026,12,15)&gt;$C$7),1,0)</f>
        <v>0</v>
      </c>
      <c r="R46" s="106" t="n">
        <f aca="false">IF(AND(DATE(2026,12,15)&gt;=R$7,DATE(2026,12,15)&lt;=R$6,DATE(2026,12,15)&gt;$C$7),1,0)</f>
        <v>0</v>
      </c>
      <c r="S46" s="106" t="n">
        <f aca="false">IF(AND(DATE(2026,12,15)&gt;=S$7,DATE(2026,12,15)&lt;=S$6,DATE(2026,12,15)&gt;$C$7),1,0)</f>
        <v>0</v>
      </c>
      <c r="T46" s="106" t="n">
        <f aca="false">IF(AND(DATE(2026,12,15)&gt;=T$7,DATE(2026,12,15)&lt;=T$6,DATE(2026,12,15)&gt;$C$7),1,0)</f>
        <v>0</v>
      </c>
      <c r="U46" s="106" t="n">
        <f aca="false">SUM(H46:T46)</f>
        <v>0</v>
      </c>
    </row>
    <row r="47" customFormat="false" ht="15" hidden="false" customHeight="false" outlineLevel="1" collapsed="false">
      <c r="A47" s="14" t="s">
        <v>710</v>
      </c>
      <c r="H47" s="106" t="n">
        <f aca="false">IF(AND(DATE(2026,9,7)&gt;=H$7,DATE(2026,9,7)&lt;=H$6,DATE(2026,9,7)&gt;$C$7),1,0)</f>
        <v>0</v>
      </c>
      <c r="I47" s="106" t="n">
        <f aca="false">IF(AND(DATE(2026,9,7)&gt;=I$7,DATE(2026,9,7)&lt;=I$6,DATE(2026,9,7)&gt;$C$7),1,0)</f>
        <v>0</v>
      </c>
      <c r="J47" s="106" t="n">
        <f aca="false">IF(AND(DATE(2026,9,7)&gt;=J$7,DATE(2026,9,7)&lt;=J$6,DATE(2026,9,7)&gt;$C$7),1,0)</f>
        <v>0</v>
      </c>
      <c r="K47" s="106" t="n">
        <f aca="false">IF(AND(DATE(2026,9,7)&gt;=K$7,DATE(2026,9,7)&lt;=K$6,DATE(2026,9,7)&gt;$C$7),1,0)</f>
        <v>0</v>
      </c>
      <c r="L47" s="106" t="n">
        <f aca="false">IF(AND(DATE(2026,9,7)&gt;=L$7,DATE(2026,9,7)&lt;=L$6,DATE(2026,9,7)&gt;$C$7),1,0)</f>
        <v>0</v>
      </c>
      <c r="M47" s="106" t="n">
        <f aca="false">IF(AND(DATE(2026,9,7)&gt;=M$7,DATE(2026,9,7)&lt;=M$6,DATE(2026,9,7)&gt;$C$7),1,0)</f>
        <v>0</v>
      </c>
      <c r="N47" s="106" t="n">
        <f aca="false">IF(AND(DATE(2026,9,7)&gt;=N$7,DATE(2026,9,7)&lt;=N$6,DATE(2026,9,7)&gt;$C$7),1,0)</f>
        <v>0</v>
      </c>
      <c r="O47" s="106" t="n">
        <f aca="false">IF(AND(DATE(2026,9,7)&gt;=O$7,DATE(2026,9,7)&lt;=O$6,DATE(2026,9,7)&gt;$C$7),1,0)</f>
        <v>0</v>
      </c>
      <c r="P47" s="106" t="n">
        <f aca="false">IF(AND(DATE(2026,9,7)&gt;=P$7,DATE(2026,9,7)&lt;=P$6,DATE(2026,9,7)&gt;$C$7),1,0)</f>
        <v>0</v>
      </c>
      <c r="Q47" s="106" t="n">
        <f aca="false">IF(AND(DATE(2026,9,7)&gt;=Q$7,DATE(2026,9,7)&lt;=Q$6,DATE(2026,9,7)&gt;$C$7),1,0)</f>
        <v>0</v>
      </c>
      <c r="R47" s="106" t="n">
        <f aca="false">IF(AND(DATE(2026,9,7)&gt;=R$7,DATE(2026,9,7)&lt;=R$6,DATE(2026,9,7)&gt;$C$7),1,0)</f>
        <v>0</v>
      </c>
      <c r="S47" s="106" t="n">
        <f aca="false">IF(AND(DATE(2026,9,7)&gt;=S$7,DATE(2026,9,7)&lt;=S$6,DATE(2026,9,7)&gt;$C$7),1,0)</f>
        <v>0</v>
      </c>
      <c r="T47" s="106" t="n">
        <f aca="false">IF(AND(DATE(2026,9,7)&gt;=T$7,DATE(2026,9,7)&lt;=T$6,DATE(2026,9,7)&gt;$C$7),1,0)</f>
        <v>0</v>
      </c>
      <c r="U47" s="106" t="n">
        <f aca="false">SUM(H47:T47)</f>
        <v>0</v>
      </c>
    </row>
    <row r="48" customFormat="false" ht="15" hidden="false" customHeight="false" outlineLevel="1" collapsed="false">
      <c r="A48" s="14" t="s">
        <v>711</v>
      </c>
      <c r="H48" s="106" t="n">
        <f aca="false">IF(AND(DATE(2026,10,5)&gt;=H$7,DATE(2026,10,5)&lt;=H$6,DATE(2026,10,5)&gt;$C$7),1,0)</f>
        <v>0</v>
      </c>
      <c r="I48" s="106" t="n">
        <f aca="false">IF(AND(DATE(2026,10,5)&gt;=I$7,DATE(2026,10,5)&lt;=I$6,DATE(2026,10,5)&gt;$C$7),1,0)</f>
        <v>0</v>
      </c>
      <c r="J48" s="106" t="n">
        <f aca="false">IF(AND(DATE(2026,10,5)&gt;=J$7,DATE(2026,10,5)&lt;=J$6,DATE(2026,10,5)&gt;$C$7),1,0)</f>
        <v>0</v>
      </c>
      <c r="K48" s="106" t="n">
        <f aca="false">IF(AND(DATE(2026,10,5)&gt;=K$7,DATE(2026,10,5)&lt;=K$6,DATE(2026,10,5)&gt;$C$7),1,0)</f>
        <v>1</v>
      </c>
      <c r="L48" s="106" t="n">
        <f aca="false">IF(AND(DATE(2026,10,5)&gt;=L$7,DATE(2026,10,5)&lt;=L$6,DATE(2026,10,5)&gt;$C$7),1,0)</f>
        <v>0</v>
      </c>
      <c r="M48" s="106" t="n">
        <f aca="false">IF(AND(DATE(2026,10,5)&gt;=M$7,DATE(2026,10,5)&lt;=M$6,DATE(2026,10,5)&gt;$C$7),1,0)</f>
        <v>0</v>
      </c>
      <c r="N48" s="106" t="n">
        <f aca="false">IF(AND(DATE(2026,10,5)&gt;=N$7,DATE(2026,10,5)&lt;=N$6,DATE(2026,10,5)&gt;$C$7),1,0)</f>
        <v>0</v>
      </c>
      <c r="O48" s="106" t="n">
        <f aca="false">IF(AND(DATE(2026,10,5)&gt;=O$7,DATE(2026,10,5)&lt;=O$6,DATE(2026,10,5)&gt;$C$7),1,0)</f>
        <v>0</v>
      </c>
      <c r="P48" s="106" t="n">
        <f aca="false">IF(AND(DATE(2026,10,5)&gt;=P$7,DATE(2026,10,5)&lt;=P$6,DATE(2026,10,5)&gt;$C$7),1,0)</f>
        <v>0</v>
      </c>
      <c r="Q48" s="106" t="n">
        <f aca="false">IF(AND(DATE(2026,10,5)&gt;=Q$7,DATE(2026,10,5)&lt;=Q$6,DATE(2026,10,5)&gt;$C$7),1,0)</f>
        <v>0</v>
      </c>
      <c r="R48" s="106" t="n">
        <f aca="false">IF(AND(DATE(2026,10,5)&gt;=R$7,DATE(2026,10,5)&lt;=R$6,DATE(2026,10,5)&gt;$C$7),1,0)</f>
        <v>0</v>
      </c>
      <c r="S48" s="106" t="n">
        <f aca="false">IF(AND(DATE(2026,10,5)&gt;=S$7,DATE(2026,10,5)&lt;=S$6,DATE(2026,10,5)&gt;$C$7),1,0)</f>
        <v>0</v>
      </c>
      <c r="T48" s="106" t="n">
        <f aca="false">IF(AND(DATE(2026,10,5)&gt;=T$7,DATE(2026,10,5)&lt;=T$6,DATE(2026,10,5)&gt;$C$7),1,0)</f>
        <v>0</v>
      </c>
      <c r="U48" s="106" t="n">
        <f aca="false">SUM(H48:T48)</f>
        <v>1</v>
      </c>
    </row>
    <row r="49" customFormat="false" ht="15" hidden="false" customHeight="false" outlineLevel="1" collapsed="false">
      <c r="A49" s="14" t="s">
        <v>712</v>
      </c>
      <c r="H49" s="106" t="n">
        <f aca="false">IF(AND(DATE(2026,11,5)&gt;=H$7,DATE(2026,11,5)&lt;=H$6,DATE(2026,11,5)&gt;$C$7),1,0)</f>
        <v>0</v>
      </c>
      <c r="I49" s="106" t="n">
        <f aca="false">IF(AND(DATE(2026,11,5)&gt;=I$7,DATE(2026,11,5)&lt;=I$6,DATE(2026,11,5)&gt;$C$7),1,0)</f>
        <v>0</v>
      </c>
      <c r="J49" s="106" t="n">
        <f aca="false">IF(AND(DATE(2026,11,5)&gt;=J$7,DATE(2026,11,5)&lt;=J$6,DATE(2026,11,5)&gt;$C$7),1,0)</f>
        <v>0</v>
      </c>
      <c r="K49" s="106" t="n">
        <f aca="false">IF(AND(DATE(2026,11,5)&gt;=K$7,DATE(2026,11,5)&lt;=K$6,DATE(2026,11,5)&gt;$C$7),1,0)</f>
        <v>0</v>
      </c>
      <c r="L49" s="106" t="n">
        <f aca="false">IF(AND(DATE(2026,11,5)&gt;=L$7,DATE(2026,11,5)&lt;=L$6,DATE(2026,11,5)&gt;$C$7),1,0)</f>
        <v>0</v>
      </c>
      <c r="M49" s="106" t="n">
        <f aca="false">IF(AND(DATE(2026,11,5)&gt;=M$7,DATE(2026,11,5)&lt;=M$6,DATE(2026,11,5)&gt;$C$7),1,0)</f>
        <v>0</v>
      </c>
      <c r="N49" s="106" t="n">
        <f aca="false">IF(AND(DATE(2026,11,5)&gt;=N$7,DATE(2026,11,5)&lt;=N$6,DATE(2026,11,5)&gt;$C$7),1,0)</f>
        <v>0</v>
      </c>
      <c r="O49" s="106" t="n">
        <f aca="false">IF(AND(DATE(2026,11,5)&gt;=O$7,DATE(2026,11,5)&lt;=O$6,DATE(2026,11,5)&gt;$C$7),1,0)</f>
        <v>1</v>
      </c>
      <c r="P49" s="106" t="n">
        <f aca="false">IF(AND(DATE(2026,11,5)&gt;=P$7,DATE(2026,11,5)&lt;=P$6,DATE(2026,11,5)&gt;$C$7),1,0)</f>
        <v>0</v>
      </c>
      <c r="Q49" s="106" t="n">
        <f aca="false">IF(AND(DATE(2026,11,5)&gt;=Q$7,DATE(2026,11,5)&lt;=Q$6,DATE(2026,11,5)&gt;$C$7),1,0)</f>
        <v>0</v>
      </c>
      <c r="R49" s="106" t="n">
        <f aca="false">IF(AND(DATE(2026,11,5)&gt;=R$7,DATE(2026,11,5)&lt;=R$6,DATE(2026,11,5)&gt;$C$7),1,0)</f>
        <v>0</v>
      </c>
      <c r="S49" s="106" t="n">
        <f aca="false">IF(AND(DATE(2026,11,5)&gt;=S$7,DATE(2026,11,5)&lt;=S$6,DATE(2026,11,5)&gt;$C$7),1,0)</f>
        <v>0</v>
      </c>
      <c r="T49" s="106" t="n">
        <f aca="false">IF(AND(DATE(2026,11,5)&gt;=T$7,DATE(2026,11,5)&lt;=T$6,DATE(2026,11,5)&gt;$C$7),1,0)</f>
        <v>0</v>
      </c>
      <c r="U49" s="106" t="n">
        <f aca="false">SUM(H49:T49)</f>
        <v>1</v>
      </c>
    </row>
    <row r="50" customFormat="false" ht="15" hidden="false" customHeight="false" outlineLevel="1" collapsed="false">
      <c r="A50" s="14" t="s">
        <v>713</v>
      </c>
      <c r="H50" s="106" t="n">
        <f aca="false">IF(AND(DATE(2026,12,7)&gt;=H$7,DATE(2026,12,7)&lt;=H$6,DATE(2026,12,7)&gt;$C$7),1,0)</f>
        <v>0</v>
      </c>
      <c r="I50" s="106" t="n">
        <f aca="false">IF(AND(DATE(2026,12,7)&gt;=I$7,DATE(2026,12,7)&lt;=I$6,DATE(2026,12,7)&gt;$C$7),1,0)</f>
        <v>0</v>
      </c>
      <c r="J50" s="106" t="n">
        <f aca="false">IF(AND(DATE(2026,12,7)&gt;=J$7,DATE(2026,12,7)&lt;=J$6,DATE(2026,12,7)&gt;$C$7),1,0)</f>
        <v>0</v>
      </c>
      <c r="K50" s="106" t="n">
        <f aca="false">IF(AND(DATE(2026,12,7)&gt;=K$7,DATE(2026,12,7)&lt;=K$6,DATE(2026,12,7)&gt;$C$7),1,0)</f>
        <v>0</v>
      </c>
      <c r="L50" s="106" t="n">
        <f aca="false">IF(AND(DATE(2026,12,7)&gt;=L$7,DATE(2026,12,7)&lt;=L$6,DATE(2026,12,7)&gt;$C$7),1,0)</f>
        <v>0</v>
      </c>
      <c r="M50" s="106" t="n">
        <f aca="false">IF(AND(DATE(2026,12,7)&gt;=M$7,DATE(2026,12,7)&lt;=M$6,DATE(2026,12,7)&gt;$C$7),1,0)</f>
        <v>0</v>
      </c>
      <c r="N50" s="106" t="n">
        <f aca="false">IF(AND(DATE(2026,12,7)&gt;=N$7,DATE(2026,12,7)&lt;=N$6,DATE(2026,12,7)&gt;$C$7),1,0)</f>
        <v>0</v>
      </c>
      <c r="O50" s="106" t="n">
        <f aca="false">IF(AND(DATE(2026,12,7)&gt;=O$7,DATE(2026,12,7)&lt;=O$6,DATE(2026,12,7)&gt;$C$7),1,0)</f>
        <v>0</v>
      </c>
      <c r="P50" s="106" t="n">
        <f aca="false">IF(AND(DATE(2026,12,7)&gt;=P$7,DATE(2026,12,7)&lt;=P$6,DATE(2026,12,7)&gt;$C$7),1,0)</f>
        <v>0</v>
      </c>
      <c r="Q50" s="106" t="n">
        <f aca="false">IF(AND(DATE(2026,12,7)&gt;=Q$7,DATE(2026,12,7)&lt;=Q$6,DATE(2026,12,7)&gt;$C$7),1,0)</f>
        <v>0</v>
      </c>
      <c r="R50" s="106" t="n">
        <f aca="false">IF(AND(DATE(2026,12,7)&gt;=R$7,DATE(2026,12,7)&lt;=R$6,DATE(2026,12,7)&gt;$C$7),1,0)</f>
        <v>0</v>
      </c>
      <c r="S50" s="106" t="n">
        <f aca="false">IF(AND(DATE(2026,12,7)&gt;=S$7,DATE(2026,12,7)&lt;=S$6,DATE(2026,12,7)&gt;$C$7),1,0)</f>
        <v>0</v>
      </c>
      <c r="T50" s="106" t="n">
        <f aca="false">IF(AND(DATE(2026,12,7)&gt;=T$7,DATE(2026,12,7)&lt;=T$6,DATE(2026,12,7)&gt;$C$7),1,0)</f>
        <v>1</v>
      </c>
      <c r="U50" s="106" t="n">
        <f aca="false">SUM(H50:T50)</f>
        <v>1</v>
      </c>
    </row>
    <row r="51" customFormat="false" ht="15" hidden="false" customHeight="false" outlineLevel="1" collapsed="false">
      <c r="A51" s="14" t="s">
        <v>714</v>
      </c>
      <c r="H51" s="106" t="n">
        <f aca="false">IF(AND(DATE(2026,9,21)&gt;=H$7,DATE(2026,9,21)&lt;=H$6,DATE(2026,9,21)&gt;$C$7),1,0)</f>
        <v>0</v>
      </c>
      <c r="I51" s="106" t="n">
        <f aca="false">IF(AND(DATE(2026,9,21)&gt;=I$7,DATE(2026,9,21)&lt;=I$6,DATE(2026,9,21)&gt;$C$7),1,0)</f>
        <v>1</v>
      </c>
      <c r="J51" s="106" t="n">
        <f aca="false">IF(AND(DATE(2026,9,21)&gt;=J$7,DATE(2026,9,21)&lt;=J$6,DATE(2026,9,21)&gt;$C$7),1,0)</f>
        <v>0</v>
      </c>
      <c r="K51" s="106" t="n">
        <f aca="false">IF(AND(DATE(2026,9,21)&gt;=K$7,DATE(2026,9,21)&lt;=K$6,DATE(2026,9,21)&gt;$C$7),1,0)</f>
        <v>0</v>
      </c>
      <c r="L51" s="106" t="n">
        <f aca="false">IF(AND(DATE(2026,9,21)&gt;=L$7,DATE(2026,9,21)&lt;=L$6,DATE(2026,9,21)&gt;$C$7),1,0)</f>
        <v>0</v>
      </c>
      <c r="M51" s="106" t="n">
        <f aca="false">IF(AND(DATE(2026,9,21)&gt;=M$7,DATE(2026,9,21)&lt;=M$6,DATE(2026,9,21)&gt;$C$7),1,0)</f>
        <v>0</v>
      </c>
      <c r="N51" s="106" t="n">
        <f aca="false">IF(AND(DATE(2026,9,21)&gt;=N$7,DATE(2026,9,21)&lt;=N$6,DATE(2026,9,21)&gt;$C$7),1,0)</f>
        <v>0</v>
      </c>
      <c r="O51" s="106" t="n">
        <f aca="false">IF(AND(DATE(2026,9,21)&gt;=O$7,DATE(2026,9,21)&lt;=O$6,DATE(2026,9,21)&gt;$C$7),1,0)</f>
        <v>0</v>
      </c>
      <c r="P51" s="106" t="n">
        <f aca="false">IF(AND(DATE(2026,9,21)&gt;=P$7,DATE(2026,9,21)&lt;=P$6,DATE(2026,9,21)&gt;$C$7),1,0)</f>
        <v>0</v>
      </c>
      <c r="Q51" s="106" t="n">
        <f aca="false">IF(AND(DATE(2026,9,21)&gt;=Q$7,DATE(2026,9,21)&lt;=Q$6,DATE(2026,9,21)&gt;$C$7),1,0)</f>
        <v>0</v>
      </c>
      <c r="R51" s="106" t="n">
        <f aca="false">IF(AND(DATE(2026,9,21)&gt;=R$7,DATE(2026,9,21)&lt;=R$6,DATE(2026,9,21)&gt;$C$7),1,0)</f>
        <v>0</v>
      </c>
      <c r="S51" s="106" t="n">
        <f aca="false">IF(AND(DATE(2026,9,21)&gt;=S$7,DATE(2026,9,21)&lt;=S$6,DATE(2026,9,21)&gt;$C$7),1,0)</f>
        <v>0</v>
      </c>
      <c r="T51" s="106" t="n">
        <f aca="false">IF(AND(DATE(2026,9,21)&gt;=T$7,DATE(2026,9,21)&lt;=T$6,DATE(2026,9,21)&gt;$C$7),1,0)</f>
        <v>0</v>
      </c>
      <c r="U51" s="106" t="n">
        <f aca="false">SUM(H51:T51)</f>
        <v>1</v>
      </c>
    </row>
    <row r="52" customFormat="false" ht="15" hidden="false" customHeight="false" outlineLevel="1" collapsed="false">
      <c r="A52" s="14" t="s">
        <v>715</v>
      </c>
      <c r="H52" s="106" t="n">
        <f aca="false">IF(AND(DATE(2026,10,19)&gt;=H$7,DATE(2026,10,19)&lt;=H$6,DATE(2026,10,19)&gt;$C$7),1,0)</f>
        <v>0</v>
      </c>
      <c r="I52" s="106" t="n">
        <f aca="false">IF(AND(DATE(2026,10,19)&gt;=I$7,DATE(2026,10,19)&lt;=I$6,DATE(2026,10,19)&gt;$C$7),1,0)</f>
        <v>0</v>
      </c>
      <c r="J52" s="106" t="n">
        <f aca="false">IF(AND(DATE(2026,10,19)&gt;=J$7,DATE(2026,10,19)&lt;=J$6,DATE(2026,10,19)&gt;$C$7),1,0)</f>
        <v>0</v>
      </c>
      <c r="K52" s="106" t="n">
        <f aca="false">IF(AND(DATE(2026,10,19)&gt;=K$7,DATE(2026,10,19)&lt;=K$6,DATE(2026,10,19)&gt;$C$7),1,0)</f>
        <v>0</v>
      </c>
      <c r="L52" s="106" t="n">
        <f aca="false">IF(AND(DATE(2026,10,19)&gt;=L$7,DATE(2026,10,19)&lt;=L$6,DATE(2026,10,19)&gt;$C$7),1,0)</f>
        <v>0</v>
      </c>
      <c r="M52" s="106" t="n">
        <f aca="false">IF(AND(DATE(2026,10,19)&gt;=M$7,DATE(2026,10,19)&lt;=M$6,DATE(2026,10,19)&gt;$C$7),1,0)</f>
        <v>1</v>
      </c>
      <c r="N52" s="106" t="n">
        <f aca="false">IF(AND(DATE(2026,10,19)&gt;=N$7,DATE(2026,10,19)&lt;=N$6,DATE(2026,10,19)&gt;$C$7),1,0)</f>
        <v>0</v>
      </c>
      <c r="O52" s="106" t="n">
        <f aca="false">IF(AND(DATE(2026,10,19)&gt;=O$7,DATE(2026,10,19)&lt;=O$6,DATE(2026,10,19)&gt;$C$7),1,0)</f>
        <v>0</v>
      </c>
      <c r="P52" s="106" t="n">
        <f aca="false">IF(AND(DATE(2026,10,19)&gt;=P$7,DATE(2026,10,19)&lt;=P$6,DATE(2026,10,19)&gt;$C$7),1,0)</f>
        <v>0</v>
      </c>
      <c r="Q52" s="106" t="n">
        <f aca="false">IF(AND(DATE(2026,10,19)&gt;=Q$7,DATE(2026,10,19)&lt;=Q$6,DATE(2026,10,19)&gt;$C$7),1,0)</f>
        <v>0</v>
      </c>
      <c r="R52" s="106" t="n">
        <f aca="false">IF(AND(DATE(2026,10,19)&gt;=R$7,DATE(2026,10,19)&lt;=R$6,DATE(2026,10,19)&gt;$C$7),1,0)</f>
        <v>0</v>
      </c>
      <c r="S52" s="106" t="n">
        <f aca="false">IF(AND(DATE(2026,10,19)&gt;=S$7,DATE(2026,10,19)&lt;=S$6,DATE(2026,10,19)&gt;$C$7),1,0)</f>
        <v>0</v>
      </c>
      <c r="T52" s="106" t="n">
        <f aca="false">IF(AND(DATE(2026,10,19)&gt;=T$7,DATE(2026,10,19)&lt;=T$6,DATE(2026,10,19)&gt;$C$7),1,0)</f>
        <v>0</v>
      </c>
      <c r="U52" s="106" t="n">
        <f aca="false">SUM(H52:T52)</f>
        <v>1</v>
      </c>
    </row>
    <row r="53" customFormat="false" ht="15" hidden="false" customHeight="false" outlineLevel="1" collapsed="false">
      <c r="A53" s="14" t="s">
        <v>716</v>
      </c>
      <c r="H53" s="106" t="n">
        <f aca="false">IF(AND(DATE(2026,11,19)&gt;=H$7,DATE(2026,11,19)&lt;=H$6,DATE(2026,11,19)&gt;$C$7),1,0)</f>
        <v>0</v>
      </c>
      <c r="I53" s="106" t="n">
        <f aca="false">IF(AND(DATE(2026,11,19)&gt;=I$7,DATE(2026,11,19)&lt;=I$6,DATE(2026,11,19)&gt;$C$7),1,0)</f>
        <v>0</v>
      </c>
      <c r="J53" s="106" t="n">
        <f aca="false">IF(AND(DATE(2026,11,19)&gt;=J$7,DATE(2026,11,19)&lt;=J$6,DATE(2026,11,19)&gt;$C$7),1,0)</f>
        <v>0</v>
      </c>
      <c r="K53" s="106" t="n">
        <f aca="false">IF(AND(DATE(2026,11,19)&gt;=K$7,DATE(2026,11,19)&lt;=K$6,DATE(2026,11,19)&gt;$C$7),1,0)</f>
        <v>0</v>
      </c>
      <c r="L53" s="106" t="n">
        <f aca="false">IF(AND(DATE(2026,11,19)&gt;=L$7,DATE(2026,11,19)&lt;=L$6,DATE(2026,11,19)&gt;$C$7),1,0)</f>
        <v>0</v>
      </c>
      <c r="M53" s="106" t="n">
        <f aca="false">IF(AND(DATE(2026,11,19)&gt;=M$7,DATE(2026,11,19)&lt;=M$6,DATE(2026,11,19)&gt;$C$7),1,0)</f>
        <v>0</v>
      </c>
      <c r="N53" s="106" t="n">
        <f aca="false">IF(AND(DATE(2026,11,19)&gt;=N$7,DATE(2026,11,19)&lt;=N$6,DATE(2026,11,19)&gt;$C$7),1,0)</f>
        <v>0</v>
      </c>
      <c r="O53" s="106" t="n">
        <f aca="false">IF(AND(DATE(2026,11,19)&gt;=O$7,DATE(2026,11,19)&lt;=O$6,DATE(2026,11,19)&gt;$C$7),1,0)</f>
        <v>0</v>
      </c>
      <c r="P53" s="106" t="n">
        <f aca="false">IF(AND(DATE(2026,11,19)&gt;=P$7,DATE(2026,11,19)&lt;=P$6,DATE(2026,11,19)&gt;$C$7),1,0)</f>
        <v>0</v>
      </c>
      <c r="Q53" s="106" t="n">
        <f aca="false">IF(AND(DATE(2026,11,19)&gt;=Q$7,DATE(2026,11,19)&lt;=Q$6,DATE(2026,11,19)&gt;$C$7),1,0)</f>
        <v>1</v>
      </c>
      <c r="R53" s="106" t="n">
        <f aca="false">IF(AND(DATE(2026,11,19)&gt;=R$7,DATE(2026,11,19)&lt;=R$6,DATE(2026,11,19)&gt;$C$7),1,0)</f>
        <v>0</v>
      </c>
      <c r="S53" s="106" t="n">
        <f aca="false">IF(AND(DATE(2026,11,19)&gt;=S$7,DATE(2026,11,19)&lt;=S$6,DATE(2026,11,19)&gt;$C$7),1,0)</f>
        <v>0</v>
      </c>
      <c r="T53" s="106" t="n">
        <f aca="false">IF(AND(DATE(2026,11,19)&gt;=T$7,DATE(2026,11,19)&lt;=T$6,DATE(2026,11,19)&gt;$C$7),1,0)</f>
        <v>0</v>
      </c>
      <c r="U53" s="106" t="n">
        <f aca="false">SUM(H53:T53)</f>
        <v>1</v>
      </c>
    </row>
    <row r="54" customFormat="false" ht="15" hidden="false" customHeight="false" outlineLevel="1" collapsed="false">
      <c r="A54" s="14" t="s">
        <v>717</v>
      </c>
      <c r="H54" s="106" t="n">
        <f aca="false">IF(AND(DATE(2026,12,21)&gt;=H$7,DATE(2026,12,21)&lt;=H$6,DATE(2026,12,21)&gt;$C$7),1,0)</f>
        <v>0</v>
      </c>
      <c r="I54" s="106" t="n">
        <f aca="false">IF(AND(DATE(2026,12,21)&gt;=I$7,DATE(2026,12,21)&lt;=I$6,DATE(2026,12,21)&gt;$C$7),1,0)</f>
        <v>0</v>
      </c>
      <c r="J54" s="106" t="n">
        <f aca="false">IF(AND(DATE(2026,12,21)&gt;=J$7,DATE(2026,12,21)&lt;=J$6,DATE(2026,12,21)&gt;$C$7),1,0)</f>
        <v>0</v>
      </c>
      <c r="K54" s="106" t="n">
        <f aca="false">IF(AND(DATE(2026,12,21)&gt;=K$7,DATE(2026,12,21)&lt;=K$6,DATE(2026,12,21)&gt;$C$7),1,0)</f>
        <v>0</v>
      </c>
      <c r="L54" s="106" t="n">
        <f aca="false">IF(AND(DATE(2026,12,21)&gt;=L$7,DATE(2026,12,21)&lt;=L$6,DATE(2026,12,21)&gt;$C$7),1,0)</f>
        <v>0</v>
      </c>
      <c r="M54" s="106" t="n">
        <f aca="false">IF(AND(DATE(2026,12,21)&gt;=M$7,DATE(2026,12,21)&lt;=M$6,DATE(2026,12,21)&gt;$C$7),1,0)</f>
        <v>0</v>
      </c>
      <c r="N54" s="106" t="n">
        <f aca="false">IF(AND(DATE(2026,12,21)&gt;=N$7,DATE(2026,12,21)&lt;=N$6,DATE(2026,12,21)&gt;$C$7),1,0)</f>
        <v>0</v>
      </c>
      <c r="O54" s="106" t="n">
        <f aca="false">IF(AND(DATE(2026,12,21)&gt;=O$7,DATE(2026,12,21)&lt;=O$6,DATE(2026,12,21)&gt;$C$7),1,0)</f>
        <v>0</v>
      </c>
      <c r="P54" s="106" t="n">
        <f aca="false">IF(AND(DATE(2026,12,21)&gt;=P$7,DATE(2026,12,21)&lt;=P$6,DATE(2026,12,21)&gt;$C$7),1,0)</f>
        <v>0</v>
      </c>
      <c r="Q54" s="106" t="n">
        <f aca="false">IF(AND(DATE(2026,12,21)&gt;=Q$7,DATE(2026,12,21)&lt;=Q$6,DATE(2026,12,21)&gt;$C$7),1,0)</f>
        <v>0</v>
      </c>
      <c r="R54" s="106" t="n">
        <f aca="false">IF(AND(DATE(2026,12,21)&gt;=R$7,DATE(2026,12,21)&lt;=R$6,DATE(2026,12,21)&gt;$C$7),1,0)</f>
        <v>0</v>
      </c>
      <c r="S54" s="106" t="n">
        <f aca="false">IF(AND(DATE(2026,12,21)&gt;=S$7,DATE(2026,12,21)&lt;=S$6,DATE(2026,12,21)&gt;$C$7),1,0)</f>
        <v>0</v>
      </c>
      <c r="T54" s="106" t="n">
        <f aca="false">IF(AND(DATE(2026,12,21)&gt;=T$7,DATE(2026,12,21)&lt;=T$6,DATE(2026,12,21)&gt;$C$7),1,0)</f>
        <v>0</v>
      </c>
      <c r="U54" s="106" t="n">
        <f aca="false">SUM(H54:T54)</f>
        <v>0</v>
      </c>
    </row>
    <row r="55" customFormat="false" ht="15" hidden="false" customHeight="false" outlineLevel="1" collapsed="false">
      <c r="A55" s="14" t="s">
        <v>718</v>
      </c>
      <c r="H55" s="106" t="n">
        <f aca="false">IF(AND(DATE(2026,9,1)&gt;=H$7,DATE(2026,9,1)&lt;=H$6,DATE(2026,9,1)&gt;$C$7),1,0)</f>
        <v>0</v>
      </c>
      <c r="I55" s="106" t="n">
        <f aca="false">IF(AND(DATE(2026,9,1)&gt;=I$7,DATE(2026,9,1)&lt;=I$6,DATE(2026,9,1)&gt;$C$7),1,0)</f>
        <v>0</v>
      </c>
      <c r="J55" s="106" t="n">
        <f aca="false">IF(AND(DATE(2026,9,1)&gt;=J$7,DATE(2026,9,1)&lt;=J$6,DATE(2026,9,1)&gt;$C$7),1,0)</f>
        <v>0</v>
      </c>
      <c r="K55" s="106" t="n">
        <f aca="false">IF(AND(DATE(2026,9,1)&gt;=K$7,DATE(2026,9,1)&lt;=K$6,DATE(2026,9,1)&gt;$C$7),1,0)</f>
        <v>0</v>
      </c>
      <c r="L55" s="106" t="n">
        <f aca="false">IF(AND(DATE(2026,9,1)&gt;=L$7,DATE(2026,9,1)&lt;=L$6,DATE(2026,9,1)&gt;$C$7),1,0)</f>
        <v>0</v>
      </c>
      <c r="M55" s="106" t="n">
        <f aca="false">IF(AND(DATE(2026,9,1)&gt;=M$7,DATE(2026,9,1)&lt;=M$6,DATE(2026,9,1)&gt;$C$7),1,0)</f>
        <v>0</v>
      </c>
      <c r="N55" s="106" t="n">
        <f aca="false">IF(AND(DATE(2026,9,1)&gt;=N$7,DATE(2026,9,1)&lt;=N$6,DATE(2026,9,1)&gt;$C$7),1,0)</f>
        <v>0</v>
      </c>
      <c r="O55" s="106" t="n">
        <f aca="false">IF(AND(DATE(2026,9,1)&gt;=O$7,DATE(2026,9,1)&lt;=O$6,DATE(2026,9,1)&gt;$C$7),1,0)</f>
        <v>0</v>
      </c>
      <c r="P55" s="106" t="n">
        <f aca="false">IF(AND(DATE(2026,9,1)&gt;=P$7,DATE(2026,9,1)&lt;=P$6,DATE(2026,9,1)&gt;$C$7),1,0)</f>
        <v>0</v>
      </c>
      <c r="Q55" s="106" t="n">
        <f aca="false">IF(AND(DATE(2026,9,1)&gt;=Q$7,DATE(2026,9,1)&lt;=Q$6,DATE(2026,9,1)&gt;$C$7),1,0)</f>
        <v>0</v>
      </c>
      <c r="R55" s="106" t="n">
        <f aca="false">IF(AND(DATE(2026,9,1)&gt;=R$7,DATE(2026,9,1)&lt;=R$6,DATE(2026,9,1)&gt;$C$7),1,0)</f>
        <v>0</v>
      </c>
      <c r="S55" s="106" t="n">
        <f aca="false">IF(AND(DATE(2026,9,1)&gt;=S$7,DATE(2026,9,1)&lt;=S$6,DATE(2026,9,1)&gt;$C$7),1,0)</f>
        <v>0</v>
      </c>
      <c r="T55" s="106" t="n">
        <f aca="false">IF(AND(DATE(2026,9,1)&gt;=T$7,DATE(2026,9,1)&lt;=T$6,DATE(2026,9,1)&gt;$C$7),1,0)</f>
        <v>0</v>
      </c>
      <c r="U55" s="106" t="n">
        <f aca="false">SUM(H55:T55)</f>
        <v>0</v>
      </c>
    </row>
    <row r="56" customFormat="false" ht="15" hidden="false" customHeight="false" outlineLevel="1" collapsed="false">
      <c r="A56" s="14" t="s">
        <v>719</v>
      </c>
      <c r="H56" s="106" t="n">
        <f aca="false">IF(AND(DATE(2026,10,1)&gt;=H$7,DATE(2026,10,1)&lt;=H$6,DATE(2026,10,1)&gt;$C$7),1,0)</f>
        <v>0</v>
      </c>
      <c r="I56" s="106" t="n">
        <f aca="false">IF(AND(DATE(2026,10,1)&gt;=I$7,DATE(2026,10,1)&lt;=I$6,DATE(2026,10,1)&gt;$C$7),1,0)</f>
        <v>0</v>
      </c>
      <c r="J56" s="106" t="n">
        <f aca="false">IF(AND(DATE(2026,10,1)&gt;=J$7,DATE(2026,10,1)&lt;=J$6,DATE(2026,10,1)&gt;$C$7),1,0)</f>
        <v>1</v>
      </c>
      <c r="K56" s="106" t="n">
        <f aca="false">IF(AND(DATE(2026,10,1)&gt;=K$7,DATE(2026,10,1)&lt;=K$6,DATE(2026,10,1)&gt;$C$7),1,0)</f>
        <v>0</v>
      </c>
      <c r="L56" s="106" t="n">
        <f aca="false">IF(AND(DATE(2026,10,1)&gt;=L$7,DATE(2026,10,1)&lt;=L$6,DATE(2026,10,1)&gt;$C$7),1,0)</f>
        <v>0</v>
      </c>
      <c r="M56" s="106" t="n">
        <f aca="false">IF(AND(DATE(2026,10,1)&gt;=M$7,DATE(2026,10,1)&lt;=M$6,DATE(2026,10,1)&gt;$C$7),1,0)</f>
        <v>0</v>
      </c>
      <c r="N56" s="106" t="n">
        <f aca="false">IF(AND(DATE(2026,10,1)&gt;=N$7,DATE(2026,10,1)&lt;=N$6,DATE(2026,10,1)&gt;$C$7),1,0)</f>
        <v>0</v>
      </c>
      <c r="O56" s="106" t="n">
        <f aca="false">IF(AND(DATE(2026,10,1)&gt;=O$7,DATE(2026,10,1)&lt;=O$6,DATE(2026,10,1)&gt;$C$7),1,0)</f>
        <v>0</v>
      </c>
      <c r="P56" s="106" t="n">
        <f aca="false">IF(AND(DATE(2026,10,1)&gt;=P$7,DATE(2026,10,1)&lt;=P$6,DATE(2026,10,1)&gt;$C$7),1,0)</f>
        <v>0</v>
      </c>
      <c r="Q56" s="106" t="n">
        <f aca="false">IF(AND(DATE(2026,10,1)&gt;=Q$7,DATE(2026,10,1)&lt;=Q$6,DATE(2026,10,1)&gt;$C$7),1,0)</f>
        <v>0</v>
      </c>
      <c r="R56" s="106" t="n">
        <f aca="false">IF(AND(DATE(2026,10,1)&gt;=R$7,DATE(2026,10,1)&lt;=R$6,DATE(2026,10,1)&gt;$C$7),1,0)</f>
        <v>0</v>
      </c>
      <c r="S56" s="106" t="n">
        <f aca="false">IF(AND(DATE(2026,10,1)&gt;=S$7,DATE(2026,10,1)&lt;=S$6,DATE(2026,10,1)&gt;$C$7),1,0)</f>
        <v>0</v>
      </c>
      <c r="T56" s="106" t="n">
        <f aca="false">IF(AND(DATE(2026,10,1)&gt;=T$7,DATE(2026,10,1)&lt;=T$6,DATE(2026,10,1)&gt;$C$7),1,0)</f>
        <v>0</v>
      </c>
      <c r="U56" s="106" t="n">
        <f aca="false">SUM(H56:T56)</f>
        <v>1</v>
      </c>
    </row>
    <row r="57" customFormat="false" ht="15" hidden="false" customHeight="false" outlineLevel="1" collapsed="false">
      <c r="A57" s="14" t="s">
        <v>720</v>
      </c>
      <c r="H57" s="106" t="n">
        <f aca="false">IF(AND(DATE(2026,11,2)&gt;=H$7,DATE(2026,11,2)&lt;=H$6,DATE(2026,11,2)&gt;$C$7),1,0)</f>
        <v>0</v>
      </c>
      <c r="I57" s="106" t="n">
        <f aca="false">IF(AND(DATE(2026,11,2)&gt;=I$7,DATE(2026,11,2)&lt;=I$6,DATE(2026,11,2)&gt;$C$7),1,0)</f>
        <v>0</v>
      </c>
      <c r="J57" s="106" t="n">
        <f aca="false">IF(AND(DATE(2026,11,2)&gt;=J$7,DATE(2026,11,2)&lt;=J$6,DATE(2026,11,2)&gt;$C$7),1,0)</f>
        <v>0</v>
      </c>
      <c r="K57" s="106" t="n">
        <f aca="false">IF(AND(DATE(2026,11,2)&gt;=K$7,DATE(2026,11,2)&lt;=K$6,DATE(2026,11,2)&gt;$C$7),1,0)</f>
        <v>0</v>
      </c>
      <c r="L57" s="106" t="n">
        <f aca="false">IF(AND(DATE(2026,11,2)&gt;=L$7,DATE(2026,11,2)&lt;=L$6,DATE(2026,11,2)&gt;$C$7),1,0)</f>
        <v>0</v>
      </c>
      <c r="M57" s="106" t="n">
        <f aca="false">IF(AND(DATE(2026,11,2)&gt;=M$7,DATE(2026,11,2)&lt;=M$6,DATE(2026,11,2)&gt;$C$7),1,0)</f>
        <v>0</v>
      </c>
      <c r="N57" s="106" t="n">
        <f aca="false">IF(AND(DATE(2026,11,2)&gt;=N$7,DATE(2026,11,2)&lt;=N$6,DATE(2026,11,2)&gt;$C$7),1,0)</f>
        <v>0</v>
      </c>
      <c r="O57" s="106" t="n">
        <f aca="false">IF(AND(DATE(2026,11,2)&gt;=O$7,DATE(2026,11,2)&lt;=O$6,DATE(2026,11,2)&gt;$C$7),1,0)</f>
        <v>1</v>
      </c>
      <c r="P57" s="106" t="n">
        <f aca="false">IF(AND(DATE(2026,11,2)&gt;=P$7,DATE(2026,11,2)&lt;=P$6,DATE(2026,11,2)&gt;$C$7),1,0)</f>
        <v>0</v>
      </c>
      <c r="Q57" s="106" t="n">
        <f aca="false">IF(AND(DATE(2026,11,2)&gt;=Q$7,DATE(2026,11,2)&lt;=Q$6,DATE(2026,11,2)&gt;$C$7),1,0)</f>
        <v>0</v>
      </c>
      <c r="R57" s="106" t="n">
        <f aca="false">IF(AND(DATE(2026,11,2)&gt;=R$7,DATE(2026,11,2)&lt;=R$6,DATE(2026,11,2)&gt;$C$7),1,0)</f>
        <v>0</v>
      </c>
      <c r="S57" s="106" t="n">
        <f aca="false">IF(AND(DATE(2026,11,2)&gt;=S$7,DATE(2026,11,2)&lt;=S$6,DATE(2026,11,2)&gt;$C$7),1,0)</f>
        <v>0</v>
      </c>
      <c r="T57" s="106" t="n">
        <f aca="false">IF(AND(DATE(2026,11,2)&gt;=T$7,DATE(2026,11,2)&lt;=T$6,DATE(2026,11,2)&gt;$C$7),1,0)</f>
        <v>0</v>
      </c>
      <c r="U57" s="106" t="n">
        <f aca="false">SUM(H57:T57)</f>
        <v>1</v>
      </c>
    </row>
    <row r="58" customFormat="false" ht="15" hidden="false" customHeight="false" outlineLevel="1" collapsed="false">
      <c r="A58" s="14" t="s">
        <v>721</v>
      </c>
      <c r="H58" s="106" t="n">
        <f aca="false">IF(AND(DATE(2026,12,1)&gt;=H$7,DATE(2026,12,1)&lt;=H$6,DATE(2026,12,1)&gt;$C$7),1,0)</f>
        <v>0</v>
      </c>
      <c r="I58" s="106" t="n">
        <f aca="false">IF(AND(DATE(2026,12,1)&gt;=I$7,DATE(2026,12,1)&lt;=I$6,DATE(2026,12,1)&gt;$C$7),1,0)</f>
        <v>0</v>
      </c>
      <c r="J58" s="106" t="n">
        <f aca="false">IF(AND(DATE(2026,12,1)&gt;=J$7,DATE(2026,12,1)&lt;=J$6,DATE(2026,12,1)&gt;$C$7),1,0)</f>
        <v>0</v>
      </c>
      <c r="K58" s="106" t="n">
        <f aca="false">IF(AND(DATE(2026,12,1)&gt;=K$7,DATE(2026,12,1)&lt;=K$6,DATE(2026,12,1)&gt;$C$7),1,0)</f>
        <v>0</v>
      </c>
      <c r="L58" s="106" t="n">
        <f aca="false">IF(AND(DATE(2026,12,1)&gt;=L$7,DATE(2026,12,1)&lt;=L$6,DATE(2026,12,1)&gt;$C$7),1,0)</f>
        <v>0</v>
      </c>
      <c r="M58" s="106" t="n">
        <f aca="false">IF(AND(DATE(2026,12,1)&gt;=M$7,DATE(2026,12,1)&lt;=M$6,DATE(2026,12,1)&gt;$C$7),1,0)</f>
        <v>0</v>
      </c>
      <c r="N58" s="106" t="n">
        <f aca="false">IF(AND(DATE(2026,12,1)&gt;=N$7,DATE(2026,12,1)&lt;=N$6,DATE(2026,12,1)&gt;$C$7),1,0)</f>
        <v>0</v>
      </c>
      <c r="O58" s="106" t="n">
        <f aca="false">IF(AND(DATE(2026,12,1)&gt;=O$7,DATE(2026,12,1)&lt;=O$6,DATE(2026,12,1)&gt;$C$7),1,0)</f>
        <v>0</v>
      </c>
      <c r="P58" s="106" t="n">
        <f aca="false">IF(AND(DATE(2026,12,1)&gt;=P$7,DATE(2026,12,1)&lt;=P$6,DATE(2026,12,1)&gt;$C$7),1,0)</f>
        <v>0</v>
      </c>
      <c r="Q58" s="106" t="n">
        <f aca="false">IF(AND(DATE(2026,12,1)&gt;=Q$7,DATE(2026,12,1)&lt;=Q$6,DATE(2026,12,1)&gt;$C$7),1,0)</f>
        <v>0</v>
      </c>
      <c r="R58" s="106" t="n">
        <f aca="false">IF(AND(DATE(2026,12,1)&gt;=R$7,DATE(2026,12,1)&lt;=R$6,DATE(2026,12,1)&gt;$C$7),1,0)</f>
        <v>0</v>
      </c>
      <c r="S58" s="106" t="n">
        <f aca="false">IF(AND(DATE(2026,12,1)&gt;=S$7,DATE(2026,12,1)&lt;=S$6,DATE(2026,12,1)&gt;$C$7),1,0)</f>
        <v>1</v>
      </c>
      <c r="T58" s="106" t="n">
        <f aca="false">IF(AND(DATE(2026,12,1)&gt;=T$7,DATE(2026,12,1)&lt;=T$6,DATE(2026,12,1)&gt;$C$7),1,0)</f>
        <v>0</v>
      </c>
      <c r="U58" s="106" t="n">
        <f aca="false">SUM(H58:T58)</f>
        <v>1</v>
      </c>
    </row>
    <row r="60" customFormat="false" ht="15" hidden="false" customHeight="false" outlineLevel="0" collapsed="false">
      <c r="A60" s="22" t="s">
        <v>722</v>
      </c>
      <c r="B60" s="23"/>
      <c r="C60" s="23"/>
      <c r="D60" s="23"/>
      <c r="E60" s="23"/>
      <c r="F60" s="23"/>
      <c r="G60" s="23"/>
      <c r="H60" s="23"/>
      <c r="I60" s="23"/>
      <c r="J60" s="23"/>
      <c r="K60" s="23"/>
      <c r="L60" s="23"/>
      <c r="M60" s="23"/>
      <c r="N60" s="23"/>
      <c r="O60" s="23"/>
      <c r="P60" s="23"/>
      <c r="Q60" s="23"/>
      <c r="R60" s="23"/>
      <c r="S60" s="23"/>
      <c r="T60" s="23"/>
      <c r="U60" s="23"/>
      <c r="V60" s="23"/>
      <c r="W60" s="23"/>
    </row>
    <row r="61" customFormat="false" ht="15" hidden="false" customHeight="false" outlineLevel="0" collapsed="false">
      <c r="A61" s="28" t="s">
        <v>723</v>
      </c>
      <c r="B61" s="62" t="s">
        <v>724</v>
      </c>
      <c r="C61" s="107" t="n">
        <v>123246</v>
      </c>
      <c r="D61" s="65" t="n">
        <f aca="false">Receivables!M11</f>
        <v>336126.206029411</v>
      </c>
      <c r="E61" s="65" t="n">
        <f aca="false">Receivables!N11</f>
        <v>345147.036956083</v>
      </c>
      <c r="F61" s="65" t="n">
        <f aca="false">Receivables!O11</f>
        <v>349921.723566645</v>
      </c>
      <c r="G61" s="65" t="n">
        <f aca="false">Receivables!P11</f>
        <v>351308.945796166</v>
      </c>
      <c r="H61" s="73" t="n">
        <f aca="false">(D61-$C61)*H$11+E61*H$12+F61*H$13+G61*H$14</f>
        <v>78429.5495897831</v>
      </c>
      <c r="I61" s="73" t="n">
        <f aca="false">(D61-$C61)*I$11+E61*I$12+F61*I$13+G61*I$14</f>
        <v>78429.5495897831</v>
      </c>
      <c r="J61" s="73" t="n">
        <f aca="false">(D61-$C61)*J$11+E61*J$12+F61*J$13+G61*J$14</f>
        <v>78288.6576212052</v>
      </c>
      <c r="K61" s="73" t="n">
        <f aca="false">(D61-$C61)*K$11+E61*K$12+F61*K$13+G61*K$14</f>
        <v>77936.4276997606</v>
      </c>
      <c r="L61" s="73" t="n">
        <f aca="false">(D61-$C61)*L$11+E61*L$12+F61*L$13+G61*L$14</f>
        <v>77936.4276997606</v>
      </c>
      <c r="M61" s="73" t="n">
        <f aca="false">(D61-$C61)*M$11+E61*M$12+F61*M$13+G61*M$14</f>
        <v>77936.4276997606</v>
      </c>
      <c r="N61" s="73" t="n">
        <f aca="false">(D61-$C61)*N$11+E61*N$12+F61*N$13+G61*N$14</f>
        <v>77936.4276997606</v>
      </c>
      <c r="O61" s="73" t="n">
        <f aca="false">(D61-$C61)*O$11+E61*O$12+F61*O$13+G61*O$14</f>
        <v>81118.120099009</v>
      </c>
      <c r="P61" s="73" t="n">
        <f aca="false">(D61-$C61)*P$11+E61*P$12+F61*P$13+G61*P$14</f>
        <v>81648.4021655504</v>
      </c>
      <c r="Q61" s="73" t="n">
        <f aca="false">(D61-$C61)*Q$11+E61*Q$12+F61*Q$13+G61*Q$14</f>
        <v>81648.4021655504</v>
      </c>
      <c r="R61" s="73" t="n">
        <f aca="false">(D61-$C61)*R$11+E61*R$12+F61*R$13+G61*R$14</f>
        <v>81648.4021655504</v>
      </c>
      <c r="S61" s="73" t="n">
        <f aca="false">(D61-$C61)*S$11+E61*S$12+F61*S$13+G61*S$14</f>
        <v>80322.3589110084</v>
      </c>
      <c r="T61" s="73" t="n">
        <f aca="false">(D61-$C61)*T$11+E61*T$12+F61*T$13+G61*T$14</f>
        <v>79327.8264701019</v>
      </c>
      <c r="U61" s="64" t="n">
        <f aca="false">SUM(H61:T61)</f>
        <v>1032606.97957658</v>
      </c>
      <c r="V61" s="108" t="n">
        <f aca="false">SUM(H$14:T$14)</f>
        <v>0.354838709677419</v>
      </c>
      <c r="W61" s="29" t="n">
        <f aca="false">G61*(1-V61)</f>
        <v>226650.93277172</v>
      </c>
    </row>
    <row r="62" customFormat="false" ht="15" hidden="false" customHeight="false" outlineLevel="0" collapsed="false">
      <c r="A62" s="28" t="s">
        <v>725</v>
      </c>
      <c r="B62" s="62" t="s">
        <v>726</v>
      </c>
      <c r="C62" s="29" t="n">
        <v>0</v>
      </c>
      <c r="D62" s="65" t="n">
        <f aca="false">Receivables!M20+Receivables!M26</f>
        <v>357333.321333334</v>
      </c>
      <c r="E62" s="65" t="n">
        <f aca="false">Receivables!N20+Receivables!N26</f>
        <v>224149.847</v>
      </c>
      <c r="F62" s="65" t="n">
        <f aca="false">Receivables!O20+Receivables!O26</f>
        <v>277327.759017227</v>
      </c>
      <c r="G62" s="65" t="n">
        <f aca="false">Receivables!P20+Receivables!P26</f>
        <v>380493.236570803</v>
      </c>
      <c r="H62" s="73" t="n">
        <f aca="false">(D62-$C62)*H$23+E62*H$24+F62*H$25+G62*H$26</f>
        <v>0</v>
      </c>
      <c r="I62" s="73" t="n">
        <f aca="false">(D62-$C62)*I$23+E62*I$24+F62*I$25+G62*I$26</f>
        <v>357333.321333334</v>
      </c>
      <c r="J62" s="73" t="n">
        <f aca="false">(D62-$C62)*J$23+E62*J$24+F62*J$25+G62*J$26</f>
        <v>0</v>
      </c>
      <c r="K62" s="73" t="n">
        <f aca="false">(D62-$C62)*K$23+E62*K$24+F62*K$25+G62*K$26</f>
        <v>0</v>
      </c>
      <c r="L62" s="73" t="n">
        <f aca="false">(D62-$C62)*L$23+E62*L$24+F62*L$25+G62*L$26</f>
        <v>0</v>
      </c>
      <c r="M62" s="73" t="n">
        <f aca="false">(D62-$C62)*M$23+E62*M$24+F62*M$25+G62*M$26</f>
        <v>0</v>
      </c>
      <c r="N62" s="73" t="n">
        <f aca="false">(D62-$C62)*N$23+E62*N$24+F62*N$25+G62*N$26</f>
        <v>224149.847</v>
      </c>
      <c r="O62" s="73" t="n">
        <f aca="false">(D62-$C62)*O$23+E62*O$24+F62*O$25+G62*O$26</f>
        <v>0</v>
      </c>
      <c r="P62" s="73" t="n">
        <f aca="false">(D62-$C62)*P$23+E62*P$24+F62*P$25+G62*P$26</f>
        <v>0</v>
      </c>
      <c r="Q62" s="73" t="n">
        <f aca="false">(D62-$C62)*Q$23+E62*Q$24+F62*Q$25+G62*Q$26</f>
        <v>0</v>
      </c>
      <c r="R62" s="73" t="n">
        <f aca="false">(D62-$C62)*R$23+E62*R$24+F62*R$25+G62*R$26</f>
        <v>277327.759017227</v>
      </c>
      <c r="S62" s="73" t="n">
        <f aca="false">(D62-$C62)*S$23+E62*S$24+F62*S$25+G62*S$26</f>
        <v>0</v>
      </c>
      <c r="T62" s="73" t="n">
        <f aca="false">(D62-$C62)*T$23+E62*T$24+F62*T$25+G62*T$26</f>
        <v>0</v>
      </c>
      <c r="U62" s="64" t="n">
        <f aca="false">SUM(H62:T62)</f>
        <v>858810.92735056</v>
      </c>
      <c r="V62" s="108" t="n">
        <f aca="false">SUM(H$26:T$26)</f>
        <v>0</v>
      </c>
      <c r="W62" s="29" t="n">
        <f aca="false">G62*(1-V62)</f>
        <v>380493.236570803</v>
      </c>
    </row>
    <row r="63" customFormat="false" ht="15" hidden="false" customHeight="false" outlineLevel="0" collapsed="false">
      <c r="A63" s="28" t="s">
        <v>727</v>
      </c>
      <c r="B63" s="62" t="s">
        <v>728</v>
      </c>
      <c r="C63" s="29" t="n">
        <v>0</v>
      </c>
      <c r="D63" s="65" t="n">
        <f aca="false">Treasury!M8</f>
        <v>14005.8733835</v>
      </c>
      <c r="E63" s="65" t="n">
        <f aca="false">Treasury!N8</f>
        <v>13538.5452401385</v>
      </c>
      <c r="F63" s="65" t="n">
        <f aca="false">Treasury!O8</f>
        <v>12712.8582074112</v>
      </c>
      <c r="G63" s="65" t="n">
        <f aca="false">Treasury!P8</f>
        <v>12150.7857092078</v>
      </c>
      <c r="H63" s="73" t="n">
        <f aca="false">(D63-$C63)*H$27+E63*H$28+F63*H$29+G63*H$30</f>
        <v>0</v>
      </c>
      <c r="I63" s="73" t="n">
        <f aca="false">(D63-$C63)*I$27+E63*I$28+F63*I$29+G63*I$30</f>
        <v>0</v>
      </c>
      <c r="J63" s="73" t="n">
        <f aca="false">(D63-$C63)*J$27+E63*J$28+F63*J$29+G63*J$30</f>
        <v>14005.8733835</v>
      </c>
      <c r="K63" s="73" t="n">
        <f aca="false">(D63-$C63)*K$27+E63*K$28+F63*K$29+G63*K$30</f>
        <v>0</v>
      </c>
      <c r="L63" s="73" t="n">
        <f aca="false">(D63-$C63)*L$27+E63*L$28+F63*L$29+G63*L$30</f>
        <v>0</v>
      </c>
      <c r="M63" s="73" t="n">
        <f aca="false">(D63-$C63)*M$27+E63*M$28+F63*M$29+G63*M$30</f>
        <v>0</v>
      </c>
      <c r="N63" s="73" t="n">
        <f aca="false">(D63-$C63)*N$27+E63*N$28+F63*N$29+G63*N$30</f>
        <v>0</v>
      </c>
      <c r="O63" s="73" t="n">
        <f aca="false">(D63-$C63)*O$27+E63*O$28+F63*O$29+G63*O$30</f>
        <v>13538.5452401385</v>
      </c>
      <c r="P63" s="73" t="n">
        <f aca="false">(D63-$C63)*P$27+E63*P$28+F63*P$29+G63*P$30</f>
        <v>0</v>
      </c>
      <c r="Q63" s="73" t="n">
        <f aca="false">(D63-$C63)*Q$27+E63*Q$28+F63*Q$29+G63*Q$30</f>
        <v>0</v>
      </c>
      <c r="R63" s="73" t="n">
        <f aca="false">(D63-$C63)*R$27+E63*R$28+F63*R$29+G63*R$30</f>
        <v>0</v>
      </c>
      <c r="S63" s="73" t="n">
        <f aca="false">(D63-$C63)*S$27+E63*S$28+F63*S$29+G63*S$30</f>
        <v>12712.8582074112</v>
      </c>
      <c r="T63" s="73" t="n">
        <f aca="false">(D63-$C63)*T$27+E63*T$28+F63*T$29+G63*T$30</f>
        <v>0</v>
      </c>
      <c r="U63" s="64" t="n">
        <f aca="false">SUM(H63:T63)</f>
        <v>40257.2768310497</v>
      </c>
      <c r="V63" s="108" t="n">
        <f aca="false">SUM(H$30:T$30)</f>
        <v>0</v>
      </c>
      <c r="W63" s="29" t="n">
        <f aca="false">G63*(1-V63)</f>
        <v>12150.7857092078</v>
      </c>
    </row>
    <row r="64" customFormat="false" ht="15" hidden="false" customHeight="false" outlineLevel="0" collapsed="false">
      <c r="A64" s="76" t="s">
        <v>729</v>
      </c>
      <c r="B64" s="109" t="s">
        <v>730</v>
      </c>
      <c r="C64" s="110" t="n">
        <f aca="false">C61+C62+C63</f>
        <v>123246</v>
      </c>
      <c r="D64" s="111" t="n">
        <f aca="false">D61+D62+D63</f>
        <v>707465.400746245</v>
      </c>
      <c r="E64" s="111" t="n">
        <f aca="false">E61+E62+E63</f>
        <v>582835.429196221</v>
      </c>
      <c r="F64" s="111" t="n">
        <f aca="false">F61+F62+F63</f>
        <v>639962.340791283</v>
      </c>
      <c r="G64" s="111" t="n">
        <f aca="false">G61+G62+G63</f>
        <v>743952.968076176</v>
      </c>
      <c r="H64" s="60" t="n">
        <f aca="false">H61+H62+H63</f>
        <v>78429.5495897831</v>
      </c>
      <c r="I64" s="60" t="n">
        <f aca="false">I61+I62+I63</f>
        <v>435762.870923117</v>
      </c>
      <c r="J64" s="60" t="n">
        <f aca="false">J61+J62+J63</f>
        <v>92294.5310047052</v>
      </c>
      <c r="K64" s="60" t="n">
        <f aca="false">K61+K62+K63</f>
        <v>77936.4276997606</v>
      </c>
      <c r="L64" s="60" t="n">
        <f aca="false">L61+L62+L63</f>
        <v>77936.4276997606</v>
      </c>
      <c r="M64" s="60" t="n">
        <f aca="false">M61+M62+M63</f>
        <v>77936.4276997606</v>
      </c>
      <c r="N64" s="60" t="n">
        <f aca="false">N61+N62+N63</f>
        <v>302086.274699761</v>
      </c>
      <c r="O64" s="60" t="n">
        <f aca="false">O61+O62+O63</f>
        <v>94656.6653391475</v>
      </c>
      <c r="P64" s="60" t="n">
        <f aca="false">P61+P62+P63</f>
        <v>81648.4021655504</v>
      </c>
      <c r="Q64" s="60" t="n">
        <f aca="false">Q61+Q62+Q63</f>
        <v>81648.4021655504</v>
      </c>
      <c r="R64" s="60" t="n">
        <f aca="false">R61+R62+R63</f>
        <v>358976.161182777</v>
      </c>
      <c r="S64" s="60" t="n">
        <f aca="false">S61+S62+S63</f>
        <v>93035.2171184196</v>
      </c>
      <c r="T64" s="60" t="n">
        <f aca="false">T61+T62+T63</f>
        <v>79327.8264701019</v>
      </c>
      <c r="U64" s="60" t="n">
        <f aca="false">SUM(H64:T64)</f>
        <v>1931675.18375819</v>
      </c>
      <c r="V64" s="79"/>
      <c r="W64" s="79"/>
    </row>
    <row r="65" customFormat="false" ht="15" hidden="false" customHeight="false" outlineLevel="0" collapsed="false">
      <c r="A65" s="22" t="s">
        <v>731</v>
      </c>
      <c r="B65" s="23"/>
      <c r="C65" s="23"/>
      <c r="D65" s="23"/>
      <c r="E65" s="23"/>
      <c r="F65" s="23"/>
      <c r="G65" s="23"/>
      <c r="H65" s="23"/>
      <c r="I65" s="23"/>
      <c r="J65" s="23"/>
      <c r="K65" s="23"/>
      <c r="L65" s="23"/>
      <c r="M65" s="23"/>
      <c r="N65" s="23"/>
      <c r="O65" s="23"/>
      <c r="P65" s="23"/>
      <c r="Q65" s="23"/>
      <c r="R65" s="23"/>
      <c r="S65" s="23"/>
      <c r="T65" s="23"/>
      <c r="U65" s="23"/>
      <c r="V65" s="23"/>
      <c r="W65" s="23"/>
    </row>
    <row r="66" customFormat="false" ht="15" hidden="false" customHeight="false" outlineLevel="0" collapsed="false">
      <c r="A66" s="28" t="s">
        <v>732</v>
      </c>
      <c r="B66" s="62" t="s">
        <v>733</v>
      </c>
      <c r="C66" s="29" t="n">
        <v>0</v>
      </c>
      <c r="D66" s="65" t="n">
        <f aca="false">-People!M249</f>
        <v>-330112.749157093</v>
      </c>
      <c r="E66" s="65" t="n">
        <f aca="false">-People!N249</f>
        <v>-337278.471383827</v>
      </c>
      <c r="F66" s="65" t="n">
        <f aca="false">-People!O249</f>
        <v>-350158.379631058</v>
      </c>
      <c r="G66" s="65" t="n">
        <f aca="false">-People!P249</f>
        <v>-347634.772606626</v>
      </c>
      <c r="H66" s="73" t="n">
        <f aca="false">(D66-$C66)*H$31+E66*H$32+F66*H$33+G66*H$34</f>
        <v>-0</v>
      </c>
      <c r="I66" s="73" t="n">
        <f aca="false">(D66-$C66)*I$31+E66*I$32+F66*I$33+G66*I$34</f>
        <v>-0</v>
      </c>
      <c r="J66" s="73" t="n">
        <f aca="false">(D66-$C66)*J$31+E66*J$32+F66*J$33+G66*J$34</f>
        <v>-330112.749157093</v>
      </c>
      <c r="K66" s="73" t="n">
        <f aca="false">(D66-$C66)*K$31+E66*K$32+F66*K$33+G66*K$34</f>
        <v>-0</v>
      </c>
      <c r="L66" s="73" t="n">
        <f aca="false">(D66-$C66)*L$31+E66*L$32+F66*L$33+G66*L$34</f>
        <v>-0</v>
      </c>
      <c r="M66" s="73" t="n">
        <f aca="false">(D66-$C66)*M$31+E66*M$32+F66*M$33+G66*M$34</f>
        <v>-0</v>
      </c>
      <c r="N66" s="73" t="n">
        <f aca="false">(D66-$C66)*N$31+E66*N$32+F66*N$33+G66*N$34</f>
        <v>-337278.471383827</v>
      </c>
      <c r="O66" s="73" t="n">
        <f aca="false">(D66-$C66)*O$31+E66*O$32+F66*O$33+G66*O$34</f>
        <v>-0</v>
      </c>
      <c r="P66" s="73" t="n">
        <f aca="false">(D66-$C66)*P$31+E66*P$32+F66*P$33+G66*P$34</f>
        <v>-0</v>
      </c>
      <c r="Q66" s="73" t="n">
        <f aca="false">(D66-$C66)*Q$31+E66*Q$32+F66*Q$33+G66*Q$34</f>
        <v>-0</v>
      </c>
      <c r="R66" s="73" t="n">
        <f aca="false">(D66-$C66)*R$31+E66*R$32+F66*R$33+G66*R$34</f>
        <v>-0</v>
      </c>
      <c r="S66" s="73" t="n">
        <f aca="false">(D66-$C66)*S$31+E66*S$32+F66*S$33+G66*S$34</f>
        <v>-350158.379631058</v>
      </c>
      <c r="T66" s="73" t="n">
        <f aca="false">(D66-$C66)*T$31+E66*T$32+F66*T$33+G66*T$34</f>
        <v>-0</v>
      </c>
      <c r="U66" s="64" t="n">
        <f aca="false">SUM(H66:T66)</f>
        <v>-1017549.60017198</v>
      </c>
      <c r="V66" s="108" t="n">
        <f aca="false">SUM(H$34:T$34)</f>
        <v>0</v>
      </c>
      <c r="W66" s="29" t="n">
        <f aca="false">G66*(1-V66)</f>
        <v>-347634.772606626</v>
      </c>
    </row>
    <row r="67" customFormat="false" ht="15" hidden="false" customHeight="false" outlineLevel="0" collapsed="false">
      <c r="A67" s="28" t="s">
        <v>734</v>
      </c>
      <c r="B67" s="62" t="s">
        <v>735</v>
      </c>
      <c r="C67" s="29" t="n">
        <f aca="false">D67</f>
        <v>-250288.55</v>
      </c>
      <c r="D67" s="65" t="n">
        <f aca="false">-People!M241</f>
        <v>-250288.55</v>
      </c>
      <c r="E67" s="65" t="n">
        <f aca="false">-People!N241</f>
        <v>-237866.303901732</v>
      </c>
      <c r="F67" s="65" t="n">
        <f aca="false">-People!O241</f>
        <v>-242662.745709719</v>
      </c>
      <c r="G67" s="65" t="n">
        <f aca="false">-People!P241</f>
        <v>-250832.343052491</v>
      </c>
      <c r="H67" s="73" t="n">
        <f aca="false">(D67-$C67)*H$35+E67*H$36+F67*H$37+G67*H$38</f>
        <v>0</v>
      </c>
      <c r="I67" s="73" t="n">
        <f aca="false">(D67-$C67)*I$35+E67*I$36+F67*I$37+G67*I$38</f>
        <v>0</v>
      </c>
      <c r="J67" s="73" t="n">
        <f aca="false">(D67-$C67)*J$35+E67*J$36+F67*J$37+G67*J$38</f>
        <v>0</v>
      </c>
      <c r="K67" s="73" t="n">
        <f aca="false">(D67-$C67)*K$35+E67*K$36+F67*K$37+G67*K$38</f>
        <v>-237866.303901732</v>
      </c>
      <c r="L67" s="73" t="n">
        <f aca="false">(D67-$C67)*L$35+E67*L$36+F67*L$37+G67*L$38</f>
        <v>0</v>
      </c>
      <c r="M67" s="73" t="n">
        <f aca="false">(D67-$C67)*M$35+E67*M$36+F67*M$37+G67*M$38</f>
        <v>0</v>
      </c>
      <c r="N67" s="73" t="n">
        <f aca="false">(D67-$C67)*N$35+E67*N$36+F67*N$37+G67*N$38</f>
        <v>0</v>
      </c>
      <c r="O67" s="73" t="n">
        <f aca="false">(D67-$C67)*O$35+E67*O$36+F67*O$37+G67*O$38</f>
        <v>-242662.745709719</v>
      </c>
      <c r="P67" s="73" t="n">
        <f aca="false">(D67-$C67)*P$35+E67*P$36+F67*P$37+G67*P$38</f>
        <v>0</v>
      </c>
      <c r="Q67" s="73" t="n">
        <f aca="false">(D67-$C67)*Q$35+E67*Q$36+F67*Q$37+G67*Q$38</f>
        <v>0</v>
      </c>
      <c r="R67" s="73" t="n">
        <f aca="false">(D67-$C67)*R$35+E67*R$36+F67*R$37+G67*R$38</f>
        <v>0</v>
      </c>
      <c r="S67" s="73" t="n">
        <f aca="false">(D67-$C67)*S$35+E67*S$36+F67*S$37+G67*S$38</f>
        <v>0</v>
      </c>
      <c r="T67" s="73" t="n">
        <f aca="false">(D67-$C67)*T$35+E67*T$36+F67*T$37+G67*T$38</f>
        <v>-250832.343052491</v>
      </c>
      <c r="U67" s="64" t="n">
        <f aca="false">SUM(H67:T67)</f>
        <v>-731361.392663941</v>
      </c>
      <c r="V67" s="108" t="n">
        <f aca="false">SUM(H$38:T$38)</f>
        <v>1</v>
      </c>
      <c r="W67" s="29" t="n">
        <f aca="false">G67*(1-V67)</f>
        <v>-0</v>
      </c>
    </row>
    <row r="68" customFormat="false" ht="15" hidden="false" customHeight="false" outlineLevel="0" collapsed="false">
      <c r="A68" s="28" t="s">
        <v>736</v>
      </c>
      <c r="B68" s="62" t="s">
        <v>735</v>
      </c>
      <c r="C68" s="29" t="n">
        <f aca="false">D68</f>
        <v>-50082.254</v>
      </c>
      <c r="D68" s="65" t="n">
        <f aca="false">-People!M244</f>
        <v>-50082.254</v>
      </c>
      <c r="E68" s="65" t="n">
        <f aca="false">-People!N244</f>
        <v>-47171.6485325597</v>
      </c>
      <c r="F68" s="65" t="n">
        <f aca="false">-People!O244</f>
        <v>-48037.8305226273</v>
      </c>
      <c r="G68" s="65" t="n">
        <f aca="false">-People!P244</f>
        <v>-49867.1373556515</v>
      </c>
      <c r="H68" s="73" t="n">
        <f aca="false">(D68-$C68)*H$35+E68*H$36+F68*H$37+G68*H$38</f>
        <v>0</v>
      </c>
      <c r="I68" s="73" t="n">
        <f aca="false">(D68-$C68)*I$35+E68*I$36+F68*I$37+G68*I$38</f>
        <v>0</v>
      </c>
      <c r="J68" s="73" t="n">
        <f aca="false">(D68-$C68)*J$35+E68*J$36+F68*J$37+G68*J$38</f>
        <v>0</v>
      </c>
      <c r="K68" s="73" t="n">
        <f aca="false">(D68-$C68)*K$35+E68*K$36+F68*K$37+G68*K$38</f>
        <v>-47171.6485325597</v>
      </c>
      <c r="L68" s="73" t="n">
        <f aca="false">(D68-$C68)*L$35+E68*L$36+F68*L$37+G68*L$38</f>
        <v>0</v>
      </c>
      <c r="M68" s="73" t="n">
        <f aca="false">(D68-$C68)*M$35+E68*M$36+F68*M$37+G68*M$38</f>
        <v>0</v>
      </c>
      <c r="N68" s="73" t="n">
        <f aca="false">(D68-$C68)*N$35+E68*N$36+F68*N$37+G68*N$38</f>
        <v>0</v>
      </c>
      <c r="O68" s="73" t="n">
        <f aca="false">(D68-$C68)*O$35+E68*O$36+F68*O$37+G68*O$38</f>
        <v>-48037.8305226273</v>
      </c>
      <c r="P68" s="73" t="n">
        <f aca="false">(D68-$C68)*P$35+E68*P$36+F68*P$37+G68*P$38</f>
        <v>0</v>
      </c>
      <c r="Q68" s="73" t="n">
        <f aca="false">(D68-$C68)*Q$35+E68*Q$36+F68*Q$37+G68*Q$38</f>
        <v>0</v>
      </c>
      <c r="R68" s="73" t="n">
        <f aca="false">(D68-$C68)*R$35+E68*R$36+F68*R$37+G68*R$38</f>
        <v>0</v>
      </c>
      <c r="S68" s="73" t="n">
        <f aca="false">(D68-$C68)*S$35+E68*S$36+F68*S$37+G68*S$38</f>
        <v>0</v>
      </c>
      <c r="T68" s="73" t="n">
        <f aca="false">(D68-$C68)*T$35+E68*T$36+F68*T$37+G68*T$38</f>
        <v>-49867.1373556515</v>
      </c>
      <c r="U68" s="64" t="n">
        <f aca="false">SUM(H68:T68)</f>
        <v>-145076.616410838</v>
      </c>
      <c r="V68" s="108" t="n">
        <f aca="false">SUM(H$38:T$38)</f>
        <v>1</v>
      </c>
      <c r="W68" s="29" t="n">
        <f aca="false">G68*(1-V68)</f>
        <v>-0</v>
      </c>
    </row>
    <row r="69" customFormat="false" ht="15" hidden="false" customHeight="false" outlineLevel="0" collapsed="false">
      <c r="A69" s="28" t="s">
        <v>737</v>
      </c>
      <c r="B69" s="62" t="s">
        <v>738</v>
      </c>
      <c r="C69" s="29" t="n">
        <v>0</v>
      </c>
      <c r="D69" s="65" t="n">
        <f aca="false">-People!M247</f>
        <v>-89269.9099999999</v>
      </c>
      <c r="E69" s="65" t="n">
        <f aca="false">-People!N247</f>
        <v>-82399.7543644444</v>
      </c>
      <c r="F69" s="65" t="n">
        <f aca="false">-People!O247</f>
        <v>-84331.1519792162</v>
      </c>
      <c r="G69" s="65" t="n">
        <f aca="false">-People!P247</f>
        <v>-88416.4370296205</v>
      </c>
      <c r="H69" s="73" t="n">
        <f aca="false">(D69-$C69)*H$39+E69*H$40+F69*H$41+G69*H$42</f>
        <v>-0</v>
      </c>
      <c r="I69" s="73" t="n">
        <f aca="false">(D69-$C69)*I$39+E69*I$40+F69*I$41+G69*I$42</f>
        <v>-89269.9099999999</v>
      </c>
      <c r="J69" s="73" t="n">
        <f aca="false">(D69-$C69)*J$39+E69*J$40+F69*J$41+G69*J$42</f>
        <v>-0</v>
      </c>
      <c r="K69" s="73" t="n">
        <f aca="false">(D69-$C69)*K$39+E69*K$40+F69*K$41+G69*K$42</f>
        <v>-0</v>
      </c>
      <c r="L69" s="73" t="n">
        <f aca="false">(D69-$C69)*L$39+E69*L$40+F69*L$41+G69*L$42</f>
        <v>-0</v>
      </c>
      <c r="M69" s="73" t="n">
        <f aca="false">(D69-$C69)*M$39+E69*M$40+F69*M$41+G69*M$42</f>
        <v>-82399.7543644444</v>
      </c>
      <c r="N69" s="73" t="n">
        <f aca="false">(D69-$C69)*N$39+E69*N$40+F69*N$41+G69*N$42</f>
        <v>-0</v>
      </c>
      <c r="O69" s="73" t="n">
        <f aca="false">(D69-$C69)*O$39+E69*O$40+F69*O$41+G69*O$42</f>
        <v>-0</v>
      </c>
      <c r="P69" s="73" t="n">
        <f aca="false">(D69-$C69)*P$39+E69*P$40+F69*P$41+G69*P$42</f>
        <v>-0</v>
      </c>
      <c r="Q69" s="73" t="n">
        <f aca="false">(D69-$C69)*Q$39+E69*Q$40+F69*Q$41+G69*Q$42</f>
        <v>-0</v>
      </c>
      <c r="R69" s="73" t="n">
        <f aca="false">(D69-$C69)*R$39+E69*R$40+F69*R$41+G69*R$42</f>
        <v>-84331.1519792162</v>
      </c>
      <c r="S69" s="73" t="n">
        <f aca="false">(D69-$C69)*S$39+E69*S$40+F69*S$41+G69*S$42</f>
        <v>-0</v>
      </c>
      <c r="T69" s="73" t="n">
        <f aca="false">(D69-$C69)*T$39+E69*T$40+F69*T$41+G69*T$42</f>
        <v>-0</v>
      </c>
      <c r="U69" s="64" t="n">
        <f aca="false">SUM(H69:T69)</f>
        <v>-256000.816343661</v>
      </c>
      <c r="V69" s="108" t="n">
        <f aca="false">SUM(H$42:T$42)</f>
        <v>0</v>
      </c>
      <c r="W69" s="29" t="n">
        <f aca="false">G69*(1-V69)</f>
        <v>-88416.4370296205</v>
      </c>
    </row>
    <row r="70" customFormat="false" ht="15" hidden="false" customHeight="false" outlineLevel="0" collapsed="false">
      <c r="A70" s="28" t="s">
        <v>739</v>
      </c>
      <c r="B70" s="62" t="s">
        <v>740</v>
      </c>
      <c r="C70" s="29" t="n">
        <v>0</v>
      </c>
      <c r="D70" s="65" t="n">
        <f aca="false">-Payables!M11</f>
        <v>-145536.42153014</v>
      </c>
      <c r="E70" s="65" t="n">
        <f aca="false">-Payables!N11</f>
        <v>-144467.377437502</v>
      </c>
      <c r="F70" s="65" t="n">
        <f aca="false">-Payables!O11</f>
        <v>-122894.58992961</v>
      </c>
      <c r="G70" s="65" t="n">
        <f aca="false">-Payables!P11</f>
        <v>-125549.854011923</v>
      </c>
      <c r="H70" s="73" t="n">
        <f aca="false">(D70-$C70)*H$43+E70*H$44+F70*H$45+G70*H$46</f>
        <v>-145536.42153014</v>
      </c>
      <c r="I70" s="73" t="n">
        <f aca="false">(D70-$C70)*I$43+E70*I$44+F70*I$45+G70*I$46</f>
        <v>-0</v>
      </c>
      <c r="J70" s="73" t="n">
        <f aca="false">(D70-$C70)*J$43+E70*J$44+F70*J$45+G70*J$46</f>
        <v>-0</v>
      </c>
      <c r="K70" s="73" t="n">
        <f aca="false">(D70-$C70)*K$43+E70*K$44+F70*K$45+G70*K$46</f>
        <v>-0</v>
      </c>
      <c r="L70" s="73" t="n">
        <f aca="false">(D70-$C70)*L$43+E70*L$44+F70*L$45+G70*L$46</f>
        <v>-144467.377437502</v>
      </c>
      <c r="M70" s="73" t="n">
        <f aca="false">(D70-$C70)*M$43+E70*M$44+F70*M$45+G70*M$46</f>
        <v>-0</v>
      </c>
      <c r="N70" s="73" t="n">
        <f aca="false">(D70-$C70)*N$43+E70*N$44+F70*N$45+G70*N$46</f>
        <v>-0</v>
      </c>
      <c r="O70" s="73" t="n">
        <f aca="false">(D70-$C70)*O$43+E70*O$44+F70*O$45+G70*O$46</f>
        <v>-0</v>
      </c>
      <c r="P70" s="73" t="n">
        <f aca="false">(D70-$C70)*P$43+E70*P$44+F70*P$45+G70*P$46</f>
        <v>-0</v>
      </c>
      <c r="Q70" s="73" t="n">
        <f aca="false">(D70-$C70)*Q$43+E70*Q$44+F70*Q$45+G70*Q$46</f>
        <v>-122894.58992961</v>
      </c>
      <c r="R70" s="73" t="n">
        <f aca="false">(D70-$C70)*R$43+E70*R$44+F70*R$45+G70*R$46</f>
        <v>-0</v>
      </c>
      <c r="S70" s="73" t="n">
        <f aca="false">(D70-$C70)*S$43+E70*S$44+F70*S$45+G70*S$46</f>
        <v>-0</v>
      </c>
      <c r="T70" s="73" t="n">
        <f aca="false">(D70-$C70)*T$43+E70*T$44+F70*T$45+G70*T$46</f>
        <v>-0</v>
      </c>
      <c r="U70" s="64" t="n">
        <f aca="false">SUM(H70:T70)</f>
        <v>-412898.388897252</v>
      </c>
      <c r="V70" s="108" t="n">
        <f aca="false">SUM(H$46:T$46)</f>
        <v>0</v>
      </c>
      <c r="W70" s="29" t="n">
        <f aca="false">G70*(1-V70)</f>
        <v>-125549.854011923</v>
      </c>
    </row>
    <row r="71" customFormat="false" ht="15" hidden="false" customHeight="false" outlineLevel="0" collapsed="false">
      <c r="A71" s="28" t="s">
        <v>544</v>
      </c>
      <c r="B71" s="62" t="s">
        <v>740</v>
      </c>
      <c r="C71" s="29" t="n">
        <v>0</v>
      </c>
      <c r="D71" s="65" t="n">
        <f aca="false">-Payables!M17</f>
        <v>-9871.04</v>
      </c>
      <c r="E71" s="65" t="n">
        <f aca="false">-Payables!N17</f>
        <v>-9998.79700586248</v>
      </c>
      <c r="F71" s="65" t="n">
        <f aca="false">-Payables!O17</f>
        <v>-10170.8811115552</v>
      </c>
      <c r="G71" s="65" t="n">
        <f aca="false">-Payables!P17</f>
        <v>-10610.625922148</v>
      </c>
      <c r="H71" s="73" t="n">
        <f aca="false">(D71-$C71)*H$43+E71*H$44+F71*H$45+G71*H$46</f>
        <v>-9871.04</v>
      </c>
      <c r="I71" s="73" t="n">
        <f aca="false">(D71-$C71)*I$43+E71*I$44+F71*I$45+G71*I$46</f>
        <v>-0</v>
      </c>
      <c r="J71" s="73" t="n">
        <f aca="false">(D71-$C71)*J$43+E71*J$44+F71*J$45+G71*J$46</f>
        <v>-0</v>
      </c>
      <c r="K71" s="73" t="n">
        <f aca="false">(D71-$C71)*K$43+E71*K$44+F71*K$45+G71*K$46</f>
        <v>-0</v>
      </c>
      <c r="L71" s="73" t="n">
        <f aca="false">(D71-$C71)*L$43+E71*L$44+F71*L$45+G71*L$46</f>
        <v>-9998.79700586248</v>
      </c>
      <c r="M71" s="73" t="n">
        <f aca="false">(D71-$C71)*M$43+E71*M$44+F71*M$45+G71*M$46</f>
        <v>-0</v>
      </c>
      <c r="N71" s="73" t="n">
        <f aca="false">(D71-$C71)*N$43+E71*N$44+F71*N$45+G71*N$46</f>
        <v>-0</v>
      </c>
      <c r="O71" s="73" t="n">
        <f aca="false">(D71-$C71)*O$43+E71*O$44+F71*O$45+G71*O$46</f>
        <v>-0</v>
      </c>
      <c r="P71" s="73" t="n">
        <f aca="false">(D71-$C71)*P$43+E71*P$44+F71*P$45+G71*P$46</f>
        <v>-0</v>
      </c>
      <c r="Q71" s="73" t="n">
        <f aca="false">(D71-$C71)*Q$43+E71*Q$44+F71*Q$45+G71*Q$46</f>
        <v>-10170.8811115552</v>
      </c>
      <c r="R71" s="73" t="n">
        <f aca="false">(D71-$C71)*R$43+E71*R$44+F71*R$45+G71*R$46</f>
        <v>-0</v>
      </c>
      <c r="S71" s="73" t="n">
        <f aca="false">(D71-$C71)*S$43+E71*S$44+F71*S$45+G71*S$46</f>
        <v>-0</v>
      </c>
      <c r="T71" s="73" t="n">
        <f aca="false">(D71-$C71)*T$43+E71*T$44+F71*T$45+G71*T$46</f>
        <v>-0</v>
      </c>
      <c r="U71" s="64" t="n">
        <f aca="false">SUM(H71:T71)</f>
        <v>-30040.7181174177</v>
      </c>
      <c r="V71" s="108" t="n">
        <f aca="false">SUM(H$46:T$46)</f>
        <v>0</v>
      </c>
      <c r="W71" s="29" t="n">
        <f aca="false">G71*(1-V71)</f>
        <v>-10610.625922148</v>
      </c>
    </row>
    <row r="72" customFormat="false" ht="15" hidden="false" customHeight="false" outlineLevel="0" collapsed="false">
      <c r="A72" s="28" t="s">
        <v>741</v>
      </c>
      <c r="B72" s="62" t="s">
        <v>742</v>
      </c>
      <c r="C72" s="29" t="n">
        <f aca="false">D72</f>
        <v>-60109.26</v>
      </c>
      <c r="D72" s="65" t="n">
        <f aca="false">-Payables!M21</f>
        <v>-60109.26</v>
      </c>
      <c r="E72" s="65" t="n">
        <f aca="false">-Payables!N21</f>
        <v>-67287.2</v>
      </c>
      <c r="F72" s="65" t="n">
        <f aca="false">-Payables!O21</f>
        <v>-73276.6353333334</v>
      </c>
      <c r="G72" s="65" t="n">
        <f aca="false">-Payables!P21</f>
        <v>-67816.0773061111</v>
      </c>
      <c r="H72" s="73" t="n">
        <f aca="false">(D72-$C72)*H$47+E72*H$48+F72*H$49+G72*H$50</f>
        <v>0</v>
      </c>
      <c r="I72" s="73" t="n">
        <f aca="false">(D72-$C72)*I$47+E72*I$48+F72*I$49+G72*I$50</f>
        <v>0</v>
      </c>
      <c r="J72" s="73" t="n">
        <f aca="false">(D72-$C72)*J$47+E72*J$48+F72*J$49+G72*J$50</f>
        <v>0</v>
      </c>
      <c r="K72" s="73" t="n">
        <f aca="false">(D72-$C72)*K$47+E72*K$48+F72*K$49+G72*K$50</f>
        <v>-67287.2</v>
      </c>
      <c r="L72" s="73" t="n">
        <f aca="false">(D72-$C72)*L$47+E72*L$48+F72*L$49+G72*L$50</f>
        <v>0</v>
      </c>
      <c r="M72" s="73" t="n">
        <f aca="false">(D72-$C72)*M$47+E72*M$48+F72*M$49+G72*M$50</f>
        <v>0</v>
      </c>
      <c r="N72" s="73" t="n">
        <f aca="false">(D72-$C72)*N$47+E72*N$48+F72*N$49+G72*N$50</f>
        <v>0</v>
      </c>
      <c r="O72" s="73" t="n">
        <f aca="false">(D72-$C72)*O$47+E72*O$48+F72*O$49+G72*O$50</f>
        <v>-73276.6353333334</v>
      </c>
      <c r="P72" s="73" t="n">
        <f aca="false">(D72-$C72)*P$47+E72*P$48+F72*P$49+G72*P$50</f>
        <v>0</v>
      </c>
      <c r="Q72" s="73" t="n">
        <f aca="false">(D72-$C72)*Q$47+E72*Q$48+F72*Q$49+G72*Q$50</f>
        <v>0</v>
      </c>
      <c r="R72" s="73" t="n">
        <f aca="false">(D72-$C72)*R$47+E72*R$48+F72*R$49+G72*R$50</f>
        <v>0</v>
      </c>
      <c r="S72" s="73" t="n">
        <f aca="false">(D72-$C72)*S$47+E72*S$48+F72*S$49+G72*S$50</f>
        <v>0</v>
      </c>
      <c r="T72" s="73" t="n">
        <f aca="false">(D72-$C72)*T$47+E72*T$48+F72*T$49+G72*T$50</f>
        <v>-67816.0773061111</v>
      </c>
      <c r="U72" s="64" t="n">
        <f aca="false">SUM(H72:T72)</f>
        <v>-208379.912639444</v>
      </c>
      <c r="V72" s="108" t="n">
        <f aca="false">SUM(H$50:T$50)</f>
        <v>1</v>
      </c>
      <c r="W72" s="29" t="n">
        <f aca="false">G72*(1-V72)</f>
        <v>-0</v>
      </c>
    </row>
    <row r="73" customFormat="false" ht="15" hidden="false" customHeight="false" outlineLevel="0" collapsed="false">
      <c r="A73" s="28" t="s">
        <v>546</v>
      </c>
      <c r="B73" s="62" t="s">
        <v>724</v>
      </c>
      <c r="C73" s="107" t="n">
        <v>-14164</v>
      </c>
      <c r="D73" s="65" t="n">
        <f aca="false">-Payables!M25</f>
        <v>-38627.986</v>
      </c>
      <c r="E73" s="65" t="n">
        <f aca="false">-Payables!N25</f>
        <v>-40200</v>
      </c>
      <c r="F73" s="65" t="n">
        <f aca="false">-Payables!O25</f>
        <v>-63960</v>
      </c>
      <c r="G73" s="65" t="n">
        <f aca="false">-Payables!P25</f>
        <v>-61623.6</v>
      </c>
      <c r="H73" s="73" t="n">
        <f aca="false">(D73-$C73)*H$11+E73*H$12+F73*H$13+G73*H$14</f>
        <v>-9013.04747368421</v>
      </c>
      <c r="I73" s="73" t="n">
        <f aca="false">(D73-$C73)*I$11+E73*I$12+F73*I$13+G73*I$14</f>
        <v>-9013.04747368421</v>
      </c>
      <c r="J73" s="73" t="n">
        <f aca="false">(D73-$C73)*J$11+E73*J$12+F73*J$13+G73*J$14</f>
        <v>-9031.43943972835</v>
      </c>
      <c r="K73" s="73" t="n">
        <f aca="false">(D73-$C73)*K$11+E73*K$12+F73*K$13+G73*K$14</f>
        <v>-9077.41935483871</v>
      </c>
      <c r="L73" s="73" t="n">
        <f aca="false">(D73-$C73)*L$11+E73*L$12+F73*L$13+G73*L$14</f>
        <v>-9077.41935483871</v>
      </c>
      <c r="M73" s="73" t="n">
        <f aca="false">(D73-$C73)*M$11+E73*M$12+F73*M$13+G73*M$14</f>
        <v>-9077.41935483871</v>
      </c>
      <c r="N73" s="73" t="n">
        <f aca="false">(D73-$C73)*N$11+E73*N$12+F73*N$13+G73*N$14</f>
        <v>-9077.41935483871</v>
      </c>
      <c r="O73" s="73" t="n">
        <f aca="false">(D73-$C73)*O$11+E73*O$12+F73*O$13+G73*O$14</f>
        <v>-14088.7741935484</v>
      </c>
      <c r="P73" s="73" t="n">
        <f aca="false">(D73-$C73)*P$11+E73*P$12+F73*P$13+G73*P$14</f>
        <v>-14924</v>
      </c>
      <c r="Q73" s="73" t="n">
        <f aca="false">(D73-$C73)*Q$11+E73*Q$12+F73*Q$13+G73*Q$14</f>
        <v>-14924</v>
      </c>
      <c r="R73" s="73" t="n">
        <f aca="false">(D73-$C73)*R$11+E73*R$12+F73*R$13+G73*R$14</f>
        <v>-14924</v>
      </c>
      <c r="S73" s="73" t="n">
        <f aca="false">(D73-$C73)*S$11+E73*S$12+F73*S$13+G73*S$14</f>
        <v>-14347.4322580645</v>
      </c>
      <c r="T73" s="73" t="n">
        <f aca="false">(D73-$C73)*T$11+E73*T$12+F73*T$13+G73*T$14</f>
        <v>-13915.0064516129</v>
      </c>
      <c r="U73" s="64" t="n">
        <f aca="false">SUM(H73:T73)</f>
        <v>-150490.424709677</v>
      </c>
      <c r="V73" s="108" t="n">
        <f aca="false">SUM(H$14:T$14)</f>
        <v>0.354838709677419</v>
      </c>
      <c r="W73" s="29" t="n">
        <f aca="false">G73*(1-V73)</f>
        <v>-39757.1612903226</v>
      </c>
    </row>
    <row r="74" customFormat="false" ht="15" hidden="false" customHeight="false" outlineLevel="0" collapsed="false">
      <c r="A74" s="28" t="s">
        <v>743</v>
      </c>
      <c r="B74" s="62" t="s">
        <v>744</v>
      </c>
      <c r="C74" s="29" t="n">
        <f aca="false">D74</f>
        <v>-0</v>
      </c>
      <c r="D74" s="65" t="n">
        <f aca="false">-Overheads!M20</f>
        <v>-0</v>
      </c>
      <c r="E74" s="65" t="n">
        <f aca="false">-Overheads!N20</f>
        <v>-122400</v>
      </c>
      <c r="F74" s="65" t="n">
        <f aca="false">-Overheads!O20</f>
        <v>-0</v>
      </c>
      <c r="G74" s="65" t="n">
        <f aca="false">-Overheads!P20</f>
        <v>-0</v>
      </c>
      <c r="H74" s="73" t="n">
        <f aca="false">(D74-$C74)*H$55+E74*H$56+F74*H$57+G74*H$58</f>
        <v>0</v>
      </c>
      <c r="I74" s="73" t="n">
        <f aca="false">(D74-$C74)*I$55+E74*I$56+F74*I$57+G74*I$58</f>
        <v>0</v>
      </c>
      <c r="J74" s="73" t="n">
        <f aca="false">(D74-$C74)*J$55+E74*J$56+F74*J$57+G74*J$58</f>
        <v>-122400</v>
      </c>
      <c r="K74" s="73" t="n">
        <f aca="false">(D74-$C74)*K$55+E74*K$56+F74*K$57+G74*K$58</f>
        <v>0</v>
      </c>
      <c r="L74" s="73" t="n">
        <f aca="false">(D74-$C74)*L$55+E74*L$56+F74*L$57+G74*L$58</f>
        <v>0</v>
      </c>
      <c r="M74" s="73" t="n">
        <f aca="false">(D74-$C74)*M$55+E74*M$56+F74*M$57+G74*M$58</f>
        <v>0</v>
      </c>
      <c r="N74" s="73" t="n">
        <f aca="false">(D74-$C74)*N$55+E74*N$56+F74*N$57+G74*N$58</f>
        <v>0</v>
      </c>
      <c r="O74" s="73" t="n">
        <f aca="false">(D74-$C74)*O$55+E74*O$56+F74*O$57+G74*O$58</f>
        <v>0</v>
      </c>
      <c r="P74" s="73" t="n">
        <f aca="false">(D74-$C74)*P$55+E74*P$56+F74*P$57+G74*P$58</f>
        <v>0</v>
      </c>
      <c r="Q74" s="73" t="n">
        <f aca="false">(D74-$C74)*Q$55+E74*Q$56+F74*Q$57+G74*Q$58</f>
        <v>0</v>
      </c>
      <c r="R74" s="73" t="n">
        <f aca="false">(D74-$C74)*R$55+E74*R$56+F74*R$57+G74*R$58</f>
        <v>0</v>
      </c>
      <c r="S74" s="73" t="n">
        <f aca="false">(D74-$C74)*S$55+E74*S$56+F74*S$57+G74*S$58</f>
        <v>0</v>
      </c>
      <c r="T74" s="73" t="n">
        <f aca="false">(D74-$C74)*T$55+E74*T$56+F74*T$57+G74*T$58</f>
        <v>0</v>
      </c>
      <c r="U74" s="64" t="n">
        <f aca="false">SUM(H74:T74)</f>
        <v>-122400</v>
      </c>
      <c r="V74" s="108" t="n">
        <f aca="false">SUM(H$58:T$58)</f>
        <v>1</v>
      </c>
      <c r="W74" s="29" t="n">
        <f aca="false">G74*(1-V74)</f>
        <v>-0</v>
      </c>
    </row>
    <row r="75" customFormat="false" ht="15" hidden="false" customHeight="false" outlineLevel="0" collapsed="false">
      <c r="A75" s="28" t="s">
        <v>745</v>
      </c>
      <c r="B75" s="62" t="s">
        <v>746</v>
      </c>
      <c r="C75" s="29" t="n">
        <f aca="false">D75</f>
        <v>-4500</v>
      </c>
      <c r="D75" s="65" t="n">
        <f aca="false">-Overheads!M22</f>
        <v>-4500</v>
      </c>
      <c r="E75" s="65" t="n">
        <f aca="false">-Overheads!N22</f>
        <v>-4500</v>
      </c>
      <c r="F75" s="65" t="n">
        <f aca="false">-Overheads!O22</f>
        <v>-4500</v>
      </c>
      <c r="G75" s="65" t="n">
        <f aca="false">-Overheads!P22</f>
        <v>-4500</v>
      </c>
      <c r="H75" s="73" t="n">
        <f aca="false">(D75-$C75)*H$15+E75*H$16+F75*H$17+G75*H$18</f>
        <v>0</v>
      </c>
      <c r="I75" s="73" t="n">
        <f aca="false">(D75-$C75)*I$15+E75*I$16+F75*I$17+G75*I$18</f>
        <v>0</v>
      </c>
      <c r="J75" s="73" t="n">
        <f aca="false">(D75-$C75)*J$15+E75*J$16+F75*J$17+G75*J$18</f>
        <v>0</v>
      </c>
      <c r="K75" s="73" t="n">
        <f aca="false">(D75-$C75)*K$15+E75*K$16+F75*K$17+G75*K$18</f>
        <v>0</v>
      </c>
      <c r="L75" s="73" t="n">
        <f aca="false">(D75-$C75)*L$15+E75*L$16+F75*L$17+G75*L$18</f>
        <v>-4500</v>
      </c>
      <c r="M75" s="73" t="n">
        <f aca="false">(D75-$C75)*M$15+E75*M$16+F75*M$17+G75*M$18</f>
        <v>0</v>
      </c>
      <c r="N75" s="73" t="n">
        <f aca="false">(D75-$C75)*N$15+E75*N$16+F75*N$17+G75*N$18</f>
        <v>0</v>
      </c>
      <c r="O75" s="73" t="n">
        <f aca="false">(D75-$C75)*O$15+E75*O$16+F75*O$17+G75*O$18</f>
        <v>0</v>
      </c>
      <c r="P75" s="73" t="n">
        <f aca="false">(D75-$C75)*P$15+E75*P$16+F75*P$17+G75*P$18</f>
        <v>-4500</v>
      </c>
      <c r="Q75" s="73" t="n">
        <f aca="false">(D75-$C75)*Q$15+E75*Q$16+F75*Q$17+G75*Q$18</f>
        <v>0</v>
      </c>
      <c r="R75" s="73" t="n">
        <f aca="false">(D75-$C75)*R$15+E75*R$16+F75*R$17+G75*R$18</f>
        <v>0</v>
      </c>
      <c r="S75" s="73" t="n">
        <f aca="false">(D75-$C75)*S$15+E75*S$16+F75*S$17+G75*S$18</f>
        <v>0</v>
      </c>
      <c r="T75" s="73" t="n">
        <f aca="false">(D75-$C75)*T$15+E75*T$16+F75*T$17+G75*T$18</f>
        <v>-4500</v>
      </c>
      <c r="U75" s="64" t="n">
        <f aca="false">SUM(H75:T75)</f>
        <v>-13500</v>
      </c>
      <c r="V75" s="108" t="n">
        <f aca="false">SUM(H$18:T$18)</f>
        <v>1</v>
      </c>
      <c r="W75" s="29" t="n">
        <f aca="false">G75*(1-V75)</f>
        <v>-0</v>
      </c>
    </row>
    <row r="76" customFormat="false" ht="15" hidden="false" customHeight="false" outlineLevel="0" collapsed="false">
      <c r="A76" s="28" t="s">
        <v>747</v>
      </c>
      <c r="B76" s="62" t="s">
        <v>748</v>
      </c>
      <c r="C76" s="29" t="n">
        <v>0</v>
      </c>
      <c r="D76" s="65" t="n">
        <f aca="false">-VAT!M13</f>
        <v>-38769.3256333333</v>
      </c>
      <c r="E76" s="65" t="n">
        <f aca="false">-VAT!N13</f>
        <v>-39723.8988884853</v>
      </c>
      <c r="F76" s="65" t="n">
        <f aca="false">-VAT!O13</f>
        <v>-14685.1253764641</v>
      </c>
      <c r="G76" s="65" t="n">
        <f aca="false">-VAT!P13</f>
        <v>-37739.2132308419</v>
      </c>
      <c r="H76" s="73" t="n">
        <f aca="false">(D76-$C76)*H$51+E76*H$52+F76*H$53+G76*H$54</f>
        <v>-0</v>
      </c>
      <c r="I76" s="73" t="n">
        <f aca="false">(D76-$C76)*I$51+E76*I$52+F76*I$53+G76*I$54</f>
        <v>-38769.3256333333</v>
      </c>
      <c r="J76" s="73" t="n">
        <f aca="false">(D76-$C76)*J$51+E76*J$52+F76*J$53+G76*J$54</f>
        <v>-0</v>
      </c>
      <c r="K76" s="73" t="n">
        <f aca="false">(D76-$C76)*K$51+E76*K$52+F76*K$53+G76*K$54</f>
        <v>-0</v>
      </c>
      <c r="L76" s="73" t="n">
        <f aca="false">(D76-$C76)*L$51+E76*L$52+F76*L$53+G76*L$54</f>
        <v>-0</v>
      </c>
      <c r="M76" s="73" t="n">
        <f aca="false">(D76-$C76)*M$51+E76*M$52+F76*M$53+G76*M$54</f>
        <v>-39723.8988884853</v>
      </c>
      <c r="N76" s="73" t="n">
        <f aca="false">(D76-$C76)*N$51+E76*N$52+F76*N$53+G76*N$54</f>
        <v>-0</v>
      </c>
      <c r="O76" s="73" t="n">
        <f aca="false">(D76-$C76)*O$51+E76*O$52+F76*O$53+G76*O$54</f>
        <v>-0</v>
      </c>
      <c r="P76" s="73" t="n">
        <f aca="false">(D76-$C76)*P$51+E76*P$52+F76*P$53+G76*P$54</f>
        <v>-0</v>
      </c>
      <c r="Q76" s="73" t="n">
        <f aca="false">(D76-$C76)*Q$51+E76*Q$52+F76*Q$53+G76*Q$54</f>
        <v>-14685.1253764641</v>
      </c>
      <c r="R76" s="73" t="n">
        <f aca="false">(D76-$C76)*R$51+E76*R$52+F76*R$53+G76*R$54</f>
        <v>-0</v>
      </c>
      <c r="S76" s="73" t="n">
        <f aca="false">(D76-$C76)*S$51+E76*S$52+F76*S$53+G76*S$54</f>
        <v>-0</v>
      </c>
      <c r="T76" s="73" t="n">
        <f aca="false">(D76-$C76)*T$51+E76*T$52+F76*T$53+G76*T$54</f>
        <v>-0</v>
      </c>
      <c r="U76" s="64" t="n">
        <f aca="false">SUM(H76:T76)</f>
        <v>-93178.3498982827</v>
      </c>
      <c r="V76" s="108" t="n">
        <f aca="false">SUM(H$54:T$54)</f>
        <v>0</v>
      </c>
      <c r="W76" s="29" t="n">
        <f aca="false">G76*(1-V76)</f>
        <v>-37739.2132308419</v>
      </c>
    </row>
    <row r="77" customFormat="false" ht="15" hidden="false" customHeight="false" outlineLevel="0" collapsed="false">
      <c r="A77" s="28" t="s">
        <v>749</v>
      </c>
      <c r="B77" s="62" t="s">
        <v>750</v>
      </c>
      <c r="C77" s="29" t="n">
        <v>0</v>
      </c>
      <c r="D77" s="65" t="n">
        <f aca="false">-Overheads!M24</f>
        <v>-1850</v>
      </c>
      <c r="E77" s="65" t="n">
        <f aca="false">-Overheads!N24</f>
        <v>-0</v>
      </c>
      <c r="F77" s="65" t="n">
        <f aca="false">-Overheads!O24</f>
        <v>-0</v>
      </c>
      <c r="G77" s="65" t="n">
        <f aca="false">-Overheads!P24</f>
        <v>-6700</v>
      </c>
      <c r="H77" s="73" t="n">
        <f aca="false">(D77-$C77)*H$19+E77*H$20+F77*H$21+G77*H$22</f>
        <v>-1850</v>
      </c>
      <c r="I77" s="73" t="n">
        <f aca="false">(D77-$C77)*I$19+E77*I$20+F77*I$21+G77*I$22</f>
        <v>-0</v>
      </c>
      <c r="J77" s="73" t="n">
        <f aca="false">(D77-$C77)*J$19+E77*J$20+F77*J$21+G77*J$22</f>
        <v>-0</v>
      </c>
      <c r="K77" s="73" t="n">
        <f aca="false">(D77-$C77)*K$19+E77*K$20+F77*K$21+G77*K$22</f>
        <v>-0</v>
      </c>
      <c r="L77" s="73" t="n">
        <f aca="false">(D77-$C77)*L$19+E77*L$20+F77*L$21+G77*L$22</f>
        <v>-0</v>
      </c>
      <c r="M77" s="73" t="n">
        <f aca="false">(D77-$C77)*M$19+E77*M$20+F77*M$21+G77*M$22</f>
        <v>-0</v>
      </c>
      <c r="N77" s="73" t="n">
        <f aca="false">(D77-$C77)*N$19+E77*N$20+F77*N$21+G77*N$22</f>
        <v>-0</v>
      </c>
      <c r="O77" s="73" t="n">
        <f aca="false">(D77-$C77)*O$19+E77*O$20+F77*O$21+G77*O$22</f>
        <v>-0</v>
      </c>
      <c r="P77" s="73" t="n">
        <f aca="false">(D77-$C77)*P$19+E77*P$20+F77*P$21+G77*P$22</f>
        <v>-0</v>
      </c>
      <c r="Q77" s="73" t="n">
        <f aca="false">(D77-$C77)*Q$19+E77*Q$20+F77*Q$21+G77*Q$22</f>
        <v>-0</v>
      </c>
      <c r="R77" s="73" t="n">
        <f aca="false">(D77-$C77)*R$19+E77*R$20+F77*R$21+G77*R$22</f>
        <v>-0</v>
      </c>
      <c r="S77" s="73" t="n">
        <f aca="false">(D77-$C77)*S$19+E77*S$20+F77*S$21+G77*S$22</f>
        <v>-0</v>
      </c>
      <c r="T77" s="73" t="n">
        <f aca="false">(D77-$C77)*T$19+E77*T$20+F77*T$21+G77*T$22</f>
        <v>-0</v>
      </c>
      <c r="U77" s="64" t="n">
        <f aca="false">SUM(H77:T77)</f>
        <v>-1850</v>
      </c>
      <c r="V77" s="108" t="n">
        <f aca="false">SUM(H$22:T$22)</f>
        <v>0</v>
      </c>
      <c r="W77" s="29" t="n">
        <f aca="false">G77*(1-V77)</f>
        <v>-6700</v>
      </c>
    </row>
    <row r="78" customFormat="false" ht="15" hidden="false" customHeight="false" outlineLevel="0" collapsed="false">
      <c r="A78" s="76" t="s">
        <v>751</v>
      </c>
      <c r="B78" s="109" t="s">
        <v>730</v>
      </c>
      <c r="C78" s="110" t="n">
        <f aca="false">C66+C67+C68+C69+C70+C71+C72+C73+C74+C75+C76+C77</f>
        <v>-379144.064</v>
      </c>
      <c r="D78" s="111" t="n">
        <f aca="false">D66+D67+D68+D69+D70+D71+D72+D73+D74+D75+D76+D77</f>
        <v>-1019017.49632057</v>
      </c>
      <c r="E78" s="111" t="n">
        <f aca="false">E66+E67+E68+E69+E70+E71+E72+E73+E74+E75+E76+E77</f>
        <v>-1133293.45151441</v>
      </c>
      <c r="F78" s="111" t="n">
        <f aca="false">F66+F67+F68+F69+F70+F71+F72+F73+F74+F75+F76+F77</f>
        <v>-1014677.33959358</v>
      </c>
      <c r="G78" s="111" t="n">
        <f aca="false">G66+G67+G68+G69+G70+G71+G72+G73+G74+G75+G76+G77</f>
        <v>-1051290.06051541</v>
      </c>
      <c r="H78" s="60" t="n">
        <f aca="false">H66+H67+H68+H69+H70+H71+H72+H73+H74+H75+H76+H77</f>
        <v>-166270.509003825</v>
      </c>
      <c r="I78" s="60" t="n">
        <f aca="false">I66+I67+I68+I69+I70+I71+I72+I73+I74+I75+I76+I77</f>
        <v>-137052.283107017</v>
      </c>
      <c r="J78" s="60" t="n">
        <f aca="false">J66+J67+J68+J69+J70+J71+J72+J73+J74+J75+J76+J77</f>
        <v>-461544.188596821</v>
      </c>
      <c r="K78" s="60" t="n">
        <f aca="false">K66+K67+K68+K69+K70+K71+K72+K73+K74+K75+K76+K77</f>
        <v>-361402.57178913</v>
      </c>
      <c r="L78" s="60" t="n">
        <f aca="false">L66+L67+L68+L69+L70+L71+L72+L73+L74+L75+L76+L77</f>
        <v>-168043.593798203</v>
      </c>
      <c r="M78" s="60" t="n">
        <f aca="false">M66+M67+M68+M69+M70+M71+M72+M73+M74+M75+M76+M77</f>
        <v>-131201.072607768</v>
      </c>
      <c r="N78" s="60" t="n">
        <f aca="false">N66+N67+N68+N69+N70+N71+N72+N73+N74+N75+N76+N77</f>
        <v>-346355.890738666</v>
      </c>
      <c r="O78" s="60" t="n">
        <f aca="false">O66+O67+O68+O69+O70+O71+O72+O73+O74+O75+O76+O77</f>
        <v>-378065.985759228</v>
      </c>
      <c r="P78" s="60" t="n">
        <f aca="false">P66+P67+P68+P69+P70+P71+P72+P73+P74+P75+P76+P77</f>
        <v>-19424</v>
      </c>
      <c r="Q78" s="60" t="n">
        <f aca="false">Q66+Q67+Q68+Q69+Q70+Q71+Q72+Q73+Q74+Q75+Q76+Q77</f>
        <v>-162674.596417629</v>
      </c>
      <c r="R78" s="60" t="n">
        <f aca="false">R66+R67+R68+R69+R70+R71+R72+R73+R74+R75+R76+R77</f>
        <v>-99255.1519792162</v>
      </c>
      <c r="S78" s="60" t="n">
        <f aca="false">S66+S67+S68+S69+S70+S71+S72+S73+S74+S75+S76+S77</f>
        <v>-364505.811889122</v>
      </c>
      <c r="T78" s="60" t="n">
        <f aca="false">T66+T67+T68+T69+T70+T71+T72+T73+T74+T75+T76+T77</f>
        <v>-386930.564165866</v>
      </c>
      <c r="U78" s="60" t="n">
        <f aca="false">SUM(H78:T78)</f>
        <v>-3182726.21985249</v>
      </c>
      <c r="V78" s="79"/>
      <c r="W78" s="79"/>
    </row>
    <row r="79" customFormat="false" ht="15" hidden="false" customHeight="false" outlineLevel="0" collapsed="false">
      <c r="A79" s="22" t="s">
        <v>526</v>
      </c>
      <c r="B79" s="23"/>
      <c r="C79" s="23"/>
      <c r="D79" s="23"/>
      <c r="E79" s="23"/>
      <c r="F79" s="23"/>
      <c r="G79" s="23"/>
      <c r="H79" s="23"/>
      <c r="I79" s="23"/>
      <c r="J79" s="23"/>
      <c r="K79" s="23"/>
      <c r="L79" s="23"/>
      <c r="M79" s="23"/>
      <c r="N79" s="23"/>
      <c r="O79" s="23"/>
      <c r="P79" s="23"/>
      <c r="Q79" s="23"/>
      <c r="R79" s="23"/>
      <c r="S79" s="23"/>
      <c r="T79" s="23"/>
      <c r="U79" s="23"/>
      <c r="V79" s="23"/>
      <c r="W79" s="23"/>
    </row>
    <row r="80" customFormat="false" ht="15" hidden="false" customHeight="false" outlineLevel="0" collapsed="false">
      <c r="A80" s="76" t="s">
        <v>752</v>
      </c>
      <c r="B80" s="109" t="s">
        <v>730</v>
      </c>
      <c r="C80" s="60" t="n">
        <f aca="false">C64+C78</f>
        <v>-255898.064</v>
      </c>
      <c r="D80" s="111" t="n">
        <f aca="false">D64+D78</f>
        <v>-311552.095574322</v>
      </c>
      <c r="E80" s="111" t="n">
        <f aca="false">E64+E78</f>
        <v>-550458.022318192</v>
      </c>
      <c r="F80" s="111" t="n">
        <f aca="false">F64+F78</f>
        <v>-374714.998802299</v>
      </c>
      <c r="G80" s="111" t="n">
        <f aca="false">G64+G78</f>
        <v>-307337.092439237</v>
      </c>
      <c r="H80" s="60" t="n">
        <f aca="false">H64+H78</f>
        <v>-87840.9594140416</v>
      </c>
      <c r="I80" s="60" t="n">
        <f aca="false">I64+I78</f>
        <v>298710.587816099</v>
      </c>
      <c r="J80" s="60" t="n">
        <f aca="false">J64+J78</f>
        <v>-369249.657592116</v>
      </c>
      <c r="K80" s="60" t="n">
        <f aca="false">K64+K78</f>
        <v>-283466.144089369</v>
      </c>
      <c r="L80" s="60" t="n">
        <f aca="false">L64+L78</f>
        <v>-90107.1660984427</v>
      </c>
      <c r="M80" s="60" t="n">
        <f aca="false">M64+M78</f>
        <v>-53264.6449080078</v>
      </c>
      <c r="N80" s="60" t="n">
        <f aca="false">N64+N78</f>
        <v>-44269.6160389054</v>
      </c>
      <c r="O80" s="60" t="n">
        <f aca="false">O64+O78</f>
        <v>-283409.32042008</v>
      </c>
      <c r="P80" s="60" t="n">
        <f aca="false">P64+P78</f>
        <v>62224.4021655504</v>
      </c>
      <c r="Q80" s="60" t="n">
        <f aca="false">Q64+Q78</f>
        <v>-81026.1942520785</v>
      </c>
      <c r="R80" s="60" t="n">
        <f aca="false">R64+R78</f>
        <v>259721.009203561</v>
      </c>
      <c r="S80" s="60" t="n">
        <f aca="false">S64+S78</f>
        <v>-271470.594770702</v>
      </c>
      <c r="T80" s="60" t="n">
        <f aca="false">T64+T78</f>
        <v>-307602.737695764</v>
      </c>
      <c r="U80" s="60" t="n">
        <f aca="false">SUM(H80:T80)</f>
        <v>-1251051.0360943</v>
      </c>
      <c r="V80" s="79"/>
      <c r="W80" s="79"/>
    </row>
    <row r="81" customFormat="false" ht="15" hidden="false" customHeight="false" outlineLevel="0" collapsed="false">
      <c r="A81" s="0" t="s">
        <v>528</v>
      </c>
      <c r="B81" s="62" t="s">
        <v>753</v>
      </c>
      <c r="C81" s="87" t="n">
        <f aca="false">INDEX(BS!$E$9:$AB$9,Assumptions!$C$10)+C80</f>
        <v>9081350.85833333</v>
      </c>
      <c r="H81" s="29" t="n">
        <f aca="false">C81</f>
        <v>9081350.85833333</v>
      </c>
      <c r="I81" s="29" t="n">
        <f aca="false">H82</f>
        <v>8993509.89891929</v>
      </c>
      <c r="J81" s="29" t="n">
        <f aca="false">I82</f>
        <v>9292220.48673539</v>
      </c>
      <c r="K81" s="29" t="n">
        <f aca="false">J82</f>
        <v>8922970.82914327</v>
      </c>
      <c r="L81" s="29" t="n">
        <f aca="false">K82</f>
        <v>8639504.6850539</v>
      </c>
      <c r="M81" s="29" t="n">
        <f aca="false">L82</f>
        <v>8549397.51895546</v>
      </c>
      <c r="N81" s="29" t="n">
        <f aca="false">M82</f>
        <v>8496132.87404745</v>
      </c>
      <c r="O81" s="29" t="n">
        <f aca="false">N82</f>
        <v>8451863.25800855</v>
      </c>
      <c r="P81" s="29" t="n">
        <f aca="false">O82</f>
        <v>8168453.93758847</v>
      </c>
      <c r="Q81" s="29" t="n">
        <f aca="false">P82</f>
        <v>8230678.33975402</v>
      </c>
      <c r="R81" s="29" t="n">
        <f aca="false">Q82</f>
        <v>8149652.14550194</v>
      </c>
      <c r="S81" s="29" t="n">
        <f aca="false">R82</f>
        <v>8409373.1547055</v>
      </c>
      <c r="T81" s="29" t="n">
        <f aca="false">S82</f>
        <v>8137902.5599348</v>
      </c>
    </row>
    <row r="82" customFormat="false" ht="15" hidden="false" customHeight="false" outlineLevel="0" collapsed="false">
      <c r="A82" s="76" t="s">
        <v>754</v>
      </c>
      <c r="B82" s="79"/>
      <c r="C82" s="79"/>
      <c r="D82" s="79"/>
      <c r="E82" s="79"/>
      <c r="F82" s="79"/>
      <c r="G82" s="79"/>
      <c r="H82" s="60" t="n">
        <f aca="false">H81+H80</f>
        <v>8993509.89891929</v>
      </c>
      <c r="I82" s="60" t="n">
        <f aca="false">I81+I80</f>
        <v>9292220.48673539</v>
      </c>
      <c r="J82" s="60" t="n">
        <f aca="false">J81+J80</f>
        <v>8922970.82914327</v>
      </c>
      <c r="K82" s="60" t="n">
        <f aca="false">K81+K80</f>
        <v>8639504.6850539</v>
      </c>
      <c r="L82" s="60" t="n">
        <f aca="false">L81+L80</f>
        <v>8549397.51895546</v>
      </c>
      <c r="M82" s="60" t="n">
        <f aca="false">M81+M80</f>
        <v>8496132.87404745</v>
      </c>
      <c r="N82" s="60" t="n">
        <f aca="false">N81+N80</f>
        <v>8451863.25800855</v>
      </c>
      <c r="O82" s="60" t="n">
        <f aca="false">O81+O80</f>
        <v>8168453.93758847</v>
      </c>
      <c r="P82" s="60" t="n">
        <f aca="false">P81+P80</f>
        <v>8230678.33975402</v>
      </c>
      <c r="Q82" s="60" t="n">
        <f aca="false">Q81+Q80</f>
        <v>8149652.14550194</v>
      </c>
      <c r="R82" s="60" t="n">
        <f aca="false">R81+R80</f>
        <v>8409373.1547055</v>
      </c>
      <c r="S82" s="60" t="n">
        <f aca="false">S81+S80</f>
        <v>8137902.5599348</v>
      </c>
      <c r="T82" s="60" t="n">
        <f aca="false">T81+T80</f>
        <v>7830299.82223904</v>
      </c>
      <c r="U82" s="79"/>
      <c r="V82" s="79"/>
      <c r="W82" s="79"/>
    </row>
    <row r="84" customFormat="false" ht="15" hidden="false" customHeight="false" outlineLevel="0" collapsed="false">
      <c r="A84" s="22" t="s">
        <v>755</v>
      </c>
      <c r="B84" s="23"/>
      <c r="C84" s="23"/>
      <c r="D84" s="23"/>
      <c r="E84" s="23"/>
      <c r="F84" s="23"/>
      <c r="G84" s="23"/>
      <c r="H84" s="23"/>
      <c r="I84" s="23"/>
      <c r="J84" s="23"/>
      <c r="K84" s="23"/>
      <c r="L84" s="23"/>
      <c r="M84" s="23"/>
      <c r="N84" s="23"/>
      <c r="O84" s="23"/>
      <c r="P84" s="23"/>
      <c r="Q84" s="23"/>
      <c r="R84" s="23"/>
      <c r="S84" s="23"/>
      <c r="T84" s="23"/>
      <c r="U84" s="23"/>
      <c r="V84" s="23"/>
      <c r="W84" s="23"/>
    </row>
    <row r="85" customFormat="false" ht="15" hidden="false" customHeight="false" outlineLevel="0" collapsed="false">
      <c r="A85" s="0" t="s">
        <v>385</v>
      </c>
      <c r="H85" s="65" t="n">
        <f aca="false">Assumptions!$C$13</f>
        <v>3000000</v>
      </c>
      <c r="I85" s="65" t="n">
        <f aca="false">Assumptions!$C$13</f>
        <v>3000000</v>
      </c>
      <c r="J85" s="65" t="n">
        <f aca="false">Assumptions!$C$13</f>
        <v>3000000</v>
      </c>
      <c r="K85" s="65" t="n">
        <f aca="false">Assumptions!$C$13</f>
        <v>3000000</v>
      </c>
      <c r="L85" s="65" t="n">
        <f aca="false">Assumptions!$C$13</f>
        <v>3000000</v>
      </c>
      <c r="M85" s="65" t="n">
        <f aca="false">Assumptions!$C$13</f>
        <v>3000000</v>
      </c>
      <c r="N85" s="65" t="n">
        <f aca="false">Assumptions!$C$13</f>
        <v>3000000</v>
      </c>
      <c r="O85" s="65" t="n">
        <f aca="false">Assumptions!$C$13</f>
        <v>3000000</v>
      </c>
      <c r="P85" s="65" t="n">
        <f aca="false">Assumptions!$C$13</f>
        <v>3000000</v>
      </c>
      <c r="Q85" s="65" t="n">
        <f aca="false">Assumptions!$C$13</f>
        <v>3000000</v>
      </c>
      <c r="R85" s="65" t="n">
        <f aca="false">Assumptions!$C$13</f>
        <v>3000000</v>
      </c>
      <c r="S85" s="65" t="n">
        <f aca="false">Assumptions!$C$13</f>
        <v>3000000</v>
      </c>
      <c r="T85" s="65" t="n">
        <f aca="false">Assumptions!$C$13</f>
        <v>3000000</v>
      </c>
    </row>
    <row r="86" customFormat="false" ht="15" hidden="false" customHeight="false" outlineLevel="0" collapsed="false">
      <c r="A86" s="5" t="s">
        <v>756</v>
      </c>
      <c r="H86" s="36" t="n">
        <f aca="false">H82-H85</f>
        <v>5993509.89891929</v>
      </c>
      <c r="I86" s="36" t="n">
        <f aca="false">I82-I85</f>
        <v>6292220.48673539</v>
      </c>
      <c r="J86" s="36" t="n">
        <f aca="false">J82-J85</f>
        <v>5922970.82914327</v>
      </c>
      <c r="K86" s="36" t="n">
        <f aca="false">K82-K85</f>
        <v>5639504.6850539</v>
      </c>
      <c r="L86" s="36" t="n">
        <f aca="false">L82-L85</f>
        <v>5549397.51895546</v>
      </c>
      <c r="M86" s="36" t="n">
        <f aca="false">M82-M85</f>
        <v>5496132.87404745</v>
      </c>
      <c r="N86" s="36" t="n">
        <f aca="false">N82-N85</f>
        <v>5451863.25800855</v>
      </c>
      <c r="O86" s="36" t="n">
        <f aca="false">O82-O85</f>
        <v>5168453.93758847</v>
      </c>
      <c r="P86" s="36" t="n">
        <f aca="false">P82-P85</f>
        <v>5230678.33975402</v>
      </c>
      <c r="Q86" s="36" t="n">
        <f aca="false">Q82-Q85</f>
        <v>5149652.14550194</v>
      </c>
      <c r="R86" s="36" t="n">
        <f aca="false">R82-R85</f>
        <v>5409373.1547055</v>
      </c>
      <c r="S86" s="36" t="n">
        <f aca="false">S82-S85</f>
        <v>5137902.5599348</v>
      </c>
      <c r="T86" s="36" t="n">
        <f aca="false">T82-T85</f>
        <v>4830299.82223904</v>
      </c>
    </row>
    <row r="87" customFormat="false" ht="15" hidden="false" customHeight="false" outlineLevel="0" collapsed="false">
      <c r="A87" s="0" t="s">
        <v>158</v>
      </c>
      <c r="H87" s="31" t="str">
        <f aca="false">IF(H82&lt;0,"NEGATIVE",IF(H86&lt;0,"BELOW BUFFER","OK"))</f>
        <v>OK</v>
      </c>
      <c r="I87" s="31" t="str">
        <f aca="false">IF(I82&lt;0,"NEGATIVE",IF(I86&lt;0,"BELOW BUFFER","OK"))</f>
        <v>OK</v>
      </c>
      <c r="J87" s="31" t="str">
        <f aca="false">IF(J82&lt;0,"NEGATIVE",IF(J86&lt;0,"BELOW BUFFER","OK"))</f>
        <v>OK</v>
      </c>
      <c r="K87" s="31" t="str">
        <f aca="false">IF(K82&lt;0,"NEGATIVE",IF(K86&lt;0,"BELOW BUFFER","OK"))</f>
        <v>OK</v>
      </c>
      <c r="L87" s="31" t="str">
        <f aca="false">IF(L82&lt;0,"NEGATIVE",IF(L86&lt;0,"BELOW BUFFER","OK"))</f>
        <v>OK</v>
      </c>
      <c r="M87" s="31" t="str">
        <f aca="false">IF(M82&lt;0,"NEGATIVE",IF(M86&lt;0,"BELOW BUFFER","OK"))</f>
        <v>OK</v>
      </c>
      <c r="N87" s="31" t="str">
        <f aca="false">IF(N82&lt;0,"NEGATIVE",IF(N86&lt;0,"BELOW BUFFER","OK"))</f>
        <v>OK</v>
      </c>
      <c r="O87" s="31" t="str">
        <f aca="false">IF(O82&lt;0,"NEGATIVE",IF(O86&lt;0,"BELOW BUFFER","OK"))</f>
        <v>OK</v>
      </c>
      <c r="P87" s="31" t="str">
        <f aca="false">IF(P82&lt;0,"NEGATIVE",IF(P86&lt;0,"BELOW BUFFER","OK"))</f>
        <v>OK</v>
      </c>
      <c r="Q87" s="31" t="str">
        <f aca="false">IF(Q82&lt;0,"NEGATIVE",IF(Q86&lt;0,"BELOW BUFFER","OK"))</f>
        <v>OK</v>
      </c>
      <c r="R87" s="31" t="str">
        <f aca="false">IF(R82&lt;0,"NEGATIVE",IF(R86&lt;0,"BELOW BUFFER","OK"))</f>
        <v>OK</v>
      </c>
      <c r="S87" s="31" t="str">
        <f aca="false">IF(S82&lt;0,"NEGATIVE",IF(S86&lt;0,"BELOW BUFFER","OK"))</f>
        <v>OK</v>
      </c>
      <c r="T87" s="31" t="str">
        <f aca="false">IF(T82&lt;0,"NEGATIVE",IF(T86&lt;0,"BELOW BUFFER","OK"))</f>
        <v>OK</v>
      </c>
    </row>
    <row r="88" customFormat="false" ht="15" hidden="false" customHeight="false" outlineLevel="0" collapsed="false">
      <c r="A88" s="0" t="s">
        <v>757</v>
      </c>
      <c r="C88" s="36" t="n">
        <f aca="false">MIN(H82:T82)</f>
        <v>7830299.82223904</v>
      </c>
    </row>
    <row r="89" customFormat="false" ht="15" hidden="false" customHeight="false" outlineLevel="0" collapsed="false">
      <c r="A89" s="0" t="s">
        <v>758</v>
      </c>
      <c r="C89" s="112" t="n">
        <f aca="false">INDEX(H$6:T$6,MATCH(MIN(H82:T82),H82:T82,0))</f>
        <v>46367</v>
      </c>
    </row>
    <row r="90" customFormat="false" ht="15" hidden="false" customHeight="false" outlineLevel="0" collapsed="false">
      <c r="A90" s="0" t="s">
        <v>759</v>
      </c>
      <c r="C90" s="36" t="n">
        <f aca="false">MIN(H86:T86)</f>
        <v>4830299.82223904</v>
      </c>
    </row>
    <row r="91" customFormat="false" ht="15" hidden="false" customHeight="false" outlineLevel="0" collapsed="false">
      <c r="A91" s="0" t="s">
        <v>760</v>
      </c>
      <c r="C91" s="36" t="n">
        <f aca="false">Assumptions!$C$14</f>
        <v>0</v>
      </c>
    </row>
    <row r="92" customFormat="false" ht="15" hidden="false" customHeight="false" outlineLevel="0" collapsed="false">
      <c r="A92" s="0" t="s">
        <v>761</v>
      </c>
      <c r="C92" s="36" t="n">
        <f aca="false">Assumptions!$C$14+MIN(0,MIN(H86:T86))</f>
        <v>0</v>
      </c>
    </row>
    <row r="93" customFormat="false" ht="15" hidden="false" customHeight="false" outlineLevel="0" collapsed="false">
      <c r="A93" s="0" t="s">
        <v>762</v>
      </c>
      <c r="C93" s="36" t="n">
        <f aca="false">-(SUM(H67:T67)+SUM(H68:T68)+SUM(H69:T69)+SUM(H76:T76)+SUM(H77:T77))</f>
        <v>1227467.17531672</v>
      </c>
    </row>
    <row r="95" customFormat="false" ht="15" hidden="false" customHeight="false" outlineLevel="0" collapsed="false">
      <c r="A95" s="22" t="s">
        <v>763</v>
      </c>
      <c r="B95" s="23"/>
      <c r="C95" s="23"/>
      <c r="D95" s="23"/>
      <c r="E95" s="23"/>
      <c r="F95" s="23"/>
      <c r="G95" s="23"/>
      <c r="H95" s="23"/>
      <c r="I95" s="23"/>
      <c r="J95" s="23"/>
      <c r="K95" s="23"/>
      <c r="L95" s="23"/>
      <c r="M95" s="23"/>
      <c r="N95" s="23"/>
      <c r="O95" s="23"/>
      <c r="P95" s="23"/>
      <c r="Q95" s="23"/>
      <c r="R95" s="23"/>
      <c r="S95" s="23"/>
      <c r="T95" s="23"/>
      <c r="U95" s="23"/>
      <c r="V95" s="23"/>
      <c r="W95" s="23"/>
    </row>
    <row r="96" customFormat="false" ht="15" hidden="false" customHeight="false" outlineLevel="0" collapsed="false">
      <c r="A96" s="84" t="s">
        <v>764</v>
      </c>
      <c r="C96" s="73" t="n">
        <f aca="false">T82</f>
        <v>7830299.82223904</v>
      </c>
    </row>
    <row r="97" customFormat="false" ht="15" hidden="false" customHeight="false" outlineLevel="0" collapsed="false">
      <c r="A97" s="84" t="s">
        <v>765</v>
      </c>
      <c r="C97" s="73" t="n">
        <f aca="false">SUM(W61:W77)</f>
        <v>-37113.1090397521</v>
      </c>
    </row>
    <row r="98" customFormat="false" ht="15" hidden="false" customHeight="false" outlineLevel="0" collapsed="false">
      <c r="A98" s="5" t="s">
        <v>766</v>
      </c>
      <c r="C98" s="36" t="n">
        <f aca="false">C96+C97</f>
        <v>7793186.71319928</v>
      </c>
    </row>
    <row r="99" customFormat="false" ht="15" hidden="false" customHeight="false" outlineLevel="0" collapsed="false">
      <c r="A99" s="84" t="s">
        <v>767</v>
      </c>
      <c r="C99" s="73" t="n">
        <f aca="false">BS!P9</f>
        <v>7793186.71369928</v>
      </c>
    </row>
    <row r="100" customFormat="false" ht="15" hidden="false" customHeight="false" outlineLevel="0" collapsed="false">
      <c r="A100" s="5" t="s">
        <v>768</v>
      </c>
      <c r="C100" s="36" t="n">
        <f aca="false">ROUND(C98-C99,0)</f>
        <v>-0</v>
      </c>
    </row>
    <row r="102" customFormat="false" ht="15" hidden="false" customHeight="false" outlineLevel="0" collapsed="false">
      <c r="A102" s="22" t="s">
        <v>769</v>
      </c>
      <c r="B102" s="23"/>
      <c r="C102" s="23"/>
      <c r="D102" s="23"/>
      <c r="E102" s="23"/>
      <c r="F102" s="23"/>
      <c r="G102" s="23"/>
      <c r="H102" s="23"/>
      <c r="I102" s="23"/>
      <c r="J102" s="23"/>
      <c r="K102" s="23"/>
      <c r="L102" s="23"/>
      <c r="M102" s="23"/>
      <c r="N102" s="23"/>
      <c r="O102" s="23"/>
      <c r="P102" s="23"/>
      <c r="Q102" s="23"/>
      <c r="R102" s="23"/>
      <c r="S102" s="23"/>
      <c r="T102" s="23"/>
      <c r="U102" s="23"/>
      <c r="V102" s="23"/>
      <c r="W102" s="23"/>
    </row>
    <row r="103" customFormat="false" ht="15" hidden="false" customHeight="false" outlineLevel="0" collapsed="false">
      <c r="A103" s="13" t="str">
        <f aca="false">"1. Prefinance the FY2026 research tax credit: EUR "&amp;TEXT(INDEX(Research_Credit!$E$15:$AB$15,Assumptions!$C$10)/1000,"#,##0")&amp;"k accrued at "&amp;TEXT(Assumptions!$C$9,"mmm-yy")&amp;" and rising about EUR "&amp;TEXT(Research_Credit!$C$11/12000,"#,##0")&amp;"k a month; specialist lenders advance cash against an accrued credit before the refund."</f>
        <v>1. Prefinance the FY2026 research tax credit: EUR 758k accrued at Aug-26 and rising about EUR 95k a month; specialist lenders advance cash against an accrued credit before the refund.</v>
      </c>
    </row>
    <row r="104" customFormat="false" ht="15" hidden="false" customHeight="false" outlineLevel="0" collapsed="false">
      <c r="A104" s="13" t="str">
        <f aca="false">"2. Settle the Tervane dispute: EUR "&amp;TEXT(Assumptions!$C$139/1000,"#,##0.0")&amp;"k open since June. Credit the calls the logs prove were duplicated and collect the rest in October."</f>
        <v>2. Settle the Tervane dispute: EUR 18.1k open since June. Credit the calls the logs prove were duplicated and collect the rest in October.</v>
      </c>
    </row>
    <row r="105" customFormat="false" ht="15" hidden="false" customHeight="false" outlineLevel="0" collapsed="false">
      <c r="A105" s="13" t="str">
        <f aca="false">"3. Ask Provider A to roll the expected 2026 shortfall (USD "&amp;TEXT(Commitments!$C$12/1000,"#,##0")&amp;"k) into the 2027 commitment instead of paying it in January."</f>
        <v>3. Ask Provider A to roll the expected 2026 shortfall (USD 114k) into the 2027 commitment instead of paying it in January.</v>
      </c>
    </row>
    <row r="106" customFormat="false" ht="15" hidden="false" customHeight="false" outlineLevel="0" collapsed="false">
      <c r="A106" s="13" t="str">
        <f aca="false">"4. Invoice Enterprise commitments on the first day of each contract quarter with 30-day terms instead of 45 to 60."</f>
        <v>4. Invoice Enterprise commitments on the first day of each contract quarter with 30-day terms instead of 45 to 60.</v>
      </c>
    </row>
    <row r="107" customFormat="false" ht="15" hidden="false" customHeight="false" outlineLevel="0" collapsed="false">
      <c r="A107" s="13" t="str">
        <f aca="false">"5. Hold the hires planned for October and November (People) if the headroom over the buffer on this forecast falls below EUR 1.5m."</f>
        <v>5. Hold the hires planned for October and November (People) if the headroom over the buffer on this forecast falls below EUR 1.5m.</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770</v>
      </c>
    </row>
    <row r="3" customFormat="false" ht="15" hidden="false" customHeight="false" outlineLevel="0" collapsed="false">
      <c r="A3" s="49" t="s">
        <v>771</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772</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773</v>
      </c>
      <c r="B9" s="62" t="s">
        <v>46</v>
      </c>
      <c r="C9" s="64" t="n">
        <f aca="false">SUM(E9:P9)</f>
        <v>1053571.21815162</v>
      </c>
      <c r="D9" s="64" t="n">
        <f aca="false">SUM(Q9:AB9)</f>
        <v>1531023.42874785</v>
      </c>
      <c r="E9" s="65" t="n">
        <f aca="false">Credits!E51</f>
        <v>75510.7959090909</v>
      </c>
      <c r="F9" s="65" t="n">
        <f aca="false">Credits!F51</f>
        <v>81962.1586363636</v>
      </c>
      <c r="G9" s="65" t="n">
        <f aca="false">Credits!G51</f>
        <v>82243.0836363636</v>
      </c>
      <c r="H9" s="65" t="n">
        <f aca="false">Credits!H51</f>
        <v>84029.0972727273</v>
      </c>
      <c r="I9" s="65" t="n">
        <f aca="false">Credits!I51</f>
        <v>82221.3490909091</v>
      </c>
      <c r="J9" s="65" t="n">
        <f aca="false">Credits!J51</f>
        <v>85687.5559090909</v>
      </c>
      <c r="K9" s="65" t="n">
        <f aca="false">Credits!K51</f>
        <v>88344.3359090909</v>
      </c>
      <c r="L9" s="65" t="n">
        <f aca="false">Credits!L51</f>
        <v>86409.2727272727</v>
      </c>
      <c r="M9" s="65" t="n">
        <f aca="false">Credits!M51</f>
        <v>91113.780431591</v>
      </c>
      <c r="N9" s="65" t="n">
        <f aca="false">Credits!N51</f>
        <v>95687.1100549517</v>
      </c>
      <c r="O9" s="65" t="n">
        <f aca="false">Credits!O51</f>
        <v>101214.182875414</v>
      </c>
      <c r="P9" s="65" t="n">
        <f aca="false">Credits!P51</f>
        <v>99148.4956987587</v>
      </c>
      <c r="Q9" s="65" t="n">
        <f aca="false">Credits!Q51</f>
        <v>111475.371006654</v>
      </c>
      <c r="R9" s="65" t="n">
        <f aca="false">Credits!R51</f>
        <v>111811.665017257</v>
      </c>
      <c r="S9" s="65" t="n">
        <f aca="false">Credits!S51</f>
        <v>117330.793714634</v>
      </c>
      <c r="T9" s="65" t="n">
        <f aca="false">Credits!T51</f>
        <v>119396.058284809</v>
      </c>
      <c r="U9" s="65" t="n">
        <f aca="false">Credits!U51</f>
        <v>126101.330458553</v>
      </c>
      <c r="V9" s="65" t="n">
        <f aca="false">Credits!V51</f>
        <v>122409.437122515</v>
      </c>
      <c r="W9" s="65" t="n">
        <f aca="false">Credits!W51</f>
        <v>127598.900460813</v>
      </c>
      <c r="X9" s="65" t="n">
        <f aca="false">Credits!X51</f>
        <v>126499.417589698</v>
      </c>
      <c r="Y9" s="65" t="n">
        <f aca="false">Credits!Y51</f>
        <v>133364.497013951</v>
      </c>
      <c r="Z9" s="65" t="n">
        <f aca="false">Credits!Z51</f>
        <v>140332.714763713</v>
      </c>
      <c r="AA9" s="65" t="n">
        <f aca="false">Credits!AA51</f>
        <v>145640.002187864</v>
      </c>
      <c r="AB9" s="65" t="n">
        <f aca="false">Credits!AB51</f>
        <v>149063.24112739</v>
      </c>
    </row>
    <row r="10" customFormat="false" ht="15" hidden="false" customHeight="false" outlineLevel="0" collapsed="false">
      <c r="A10" s="28" t="s">
        <v>401</v>
      </c>
      <c r="B10" s="62" t="s">
        <v>49</v>
      </c>
      <c r="C10" s="64" t="n">
        <f aca="false">SUM(E10:P10)</f>
        <v>1979743.0001809</v>
      </c>
      <c r="D10" s="64" t="n">
        <f aca="false">SUM(Q10:AB10)</f>
        <v>2339041.64763248</v>
      </c>
      <c r="E10" s="65" t="n">
        <f aca="false">Team!E15</f>
        <v>147822.39</v>
      </c>
      <c r="F10" s="65" t="n">
        <f aca="false">Team!F15</f>
        <v>151285.63</v>
      </c>
      <c r="G10" s="65" t="n">
        <f aca="false">Team!G15</f>
        <v>158437.14</v>
      </c>
      <c r="H10" s="65" t="n">
        <f aca="false">Team!H15</f>
        <v>160611.64</v>
      </c>
      <c r="I10" s="65" t="n">
        <f aca="false">Team!I15</f>
        <v>164477.79</v>
      </c>
      <c r="J10" s="65" t="n">
        <f aca="false">Team!J15</f>
        <v>167613.02</v>
      </c>
      <c r="K10" s="65" t="n">
        <f aca="false">Team!K15</f>
        <v>166964.24</v>
      </c>
      <c r="L10" s="65" t="n">
        <f aca="false">Team!L15</f>
        <v>166016.24</v>
      </c>
      <c r="M10" s="65" t="n">
        <f aca="false">Team!M15</f>
        <v>169400.325521396</v>
      </c>
      <c r="N10" s="65" t="n">
        <f aca="false">Team!N15</f>
        <v>172854.600518824</v>
      </c>
      <c r="O10" s="65" t="n">
        <f aca="false">Team!O15</f>
        <v>175919.658096891</v>
      </c>
      <c r="P10" s="65" t="n">
        <f aca="false">Team!P15</f>
        <v>178340.32604379</v>
      </c>
      <c r="Q10" s="65" t="n">
        <f aca="false">Team!Q15</f>
        <v>181640.713518022</v>
      </c>
      <c r="R10" s="65" t="n">
        <f aca="false">Team!R15</f>
        <v>184553.394380423</v>
      </c>
      <c r="S10" s="65" t="n">
        <f aca="false">Team!S15</f>
        <v>187613.729454503</v>
      </c>
      <c r="T10" s="65" t="n">
        <f aca="false">Team!T15</f>
        <v>190091.691438237</v>
      </c>
      <c r="U10" s="65" t="n">
        <f aca="false">Team!U15</f>
        <v>192395.694286541</v>
      </c>
      <c r="V10" s="65" t="n">
        <f aca="false">Team!V15</f>
        <v>194794.707845499</v>
      </c>
      <c r="W10" s="65" t="n">
        <f aca="false">Team!W15</f>
        <v>196355.601573054</v>
      </c>
      <c r="X10" s="65" t="n">
        <f aca="false">Team!X15</f>
        <v>196826.985097682</v>
      </c>
      <c r="Y10" s="65" t="n">
        <f aca="false">Team!Y15</f>
        <v>199702.693367899</v>
      </c>
      <c r="Z10" s="65" t="n">
        <f aca="false">Team!Z15</f>
        <v>202663.313542504</v>
      </c>
      <c r="AA10" s="65" t="n">
        <f aca="false">Team!AA15</f>
        <v>205238.003817074</v>
      </c>
      <c r="AB10" s="65" t="n">
        <f aca="false">Team!AB15</f>
        <v>207165.119311044</v>
      </c>
    </row>
    <row r="11" customFormat="false" ht="15" hidden="false" customHeight="false" outlineLevel="0" collapsed="false">
      <c r="A11" s="28" t="s">
        <v>402</v>
      </c>
      <c r="B11" s="62" t="s">
        <v>49</v>
      </c>
      <c r="C11" s="64" t="n">
        <f aca="false">SUM(E11:P11)</f>
        <v>453712.809341607</v>
      </c>
      <c r="D11" s="64" t="n">
        <f aca="false">SUM(Q11:AB11)</f>
        <v>537979.578955471</v>
      </c>
      <c r="E11" s="65" t="n">
        <f aca="false">Team!E16</f>
        <v>33802.2</v>
      </c>
      <c r="F11" s="65" t="n">
        <f aca="false">Team!F16</f>
        <v>32583.96</v>
      </c>
      <c r="G11" s="65" t="n">
        <f aca="false">Team!G16</f>
        <v>32561.07</v>
      </c>
      <c r="H11" s="65" t="n">
        <f aca="false">Team!H16</f>
        <v>33100.75</v>
      </c>
      <c r="I11" s="65" t="n">
        <f aca="false">Team!I16</f>
        <v>37038.12</v>
      </c>
      <c r="J11" s="65" t="n">
        <f aca="false">Team!J16</f>
        <v>40825.68</v>
      </c>
      <c r="K11" s="65" t="n">
        <f aca="false">Team!K16</f>
        <v>41131.2</v>
      </c>
      <c r="L11" s="65" t="n">
        <f aca="false">Team!L16</f>
        <v>42471.4</v>
      </c>
      <c r="M11" s="65" t="n">
        <f aca="false">Team!M16</f>
        <v>38962.0748699211</v>
      </c>
      <c r="N11" s="65" t="n">
        <f aca="false">Team!N16</f>
        <v>39756.5581193296</v>
      </c>
      <c r="O11" s="65" t="n">
        <f aca="false">Team!O16</f>
        <v>40461.521362285</v>
      </c>
      <c r="P11" s="65" t="n">
        <f aca="false">Team!P16</f>
        <v>41018.2749900716</v>
      </c>
      <c r="Q11" s="65" t="n">
        <f aca="false">Team!Q16</f>
        <v>41777.3641091449</v>
      </c>
      <c r="R11" s="65" t="n">
        <f aca="false">Team!R16</f>
        <v>42447.2807074973</v>
      </c>
      <c r="S11" s="65" t="n">
        <f aca="false">Team!S16</f>
        <v>43151.1577745358</v>
      </c>
      <c r="T11" s="65" t="n">
        <f aca="false">Team!T16</f>
        <v>43721.0890307946</v>
      </c>
      <c r="U11" s="65" t="n">
        <f aca="false">Team!U16</f>
        <v>44251.0096859044</v>
      </c>
      <c r="V11" s="65" t="n">
        <f aca="false">Team!V16</f>
        <v>44802.7828044648</v>
      </c>
      <c r="W11" s="65" t="n">
        <f aca="false">Team!W16</f>
        <v>45161.7883618024</v>
      </c>
      <c r="X11" s="65" t="n">
        <f aca="false">Team!X16</f>
        <v>45270.2065724668</v>
      </c>
      <c r="Y11" s="65" t="n">
        <f aca="false">Team!Y16</f>
        <v>45931.6194746167</v>
      </c>
      <c r="Z11" s="65" t="n">
        <f aca="false">Team!Z16</f>
        <v>46612.5621147758</v>
      </c>
      <c r="AA11" s="65" t="n">
        <f aca="false">Team!AA16</f>
        <v>47204.740877927</v>
      </c>
      <c r="AB11" s="65" t="n">
        <f aca="false">Team!AB16</f>
        <v>47647.9774415401</v>
      </c>
    </row>
    <row r="12" customFormat="false" ht="15" hidden="false" customHeight="false" outlineLevel="0" collapsed="false">
      <c r="A12" s="28" t="s">
        <v>403</v>
      </c>
      <c r="B12" s="62" t="s">
        <v>51</v>
      </c>
      <c r="C12" s="64" t="n">
        <f aca="false">SUM(E12:P12)</f>
        <v>2806498.21860054</v>
      </c>
      <c r="D12" s="64" t="n">
        <f aca="false">SUM(Q12:AB12)</f>
        <v>3857124.28815138</v>
      </c>
      <c r="E12" s="65" t="n">
        <f aca="false">Enterprise!E198</f>
        <v>202445.9</v>
      </c>
      <c r="F12" s="65" t="n">
        <f aca="false">Enterprise!F198</f>
        <v>209055.46</v>
      </c>
      <c r="G12" s="65" t="n">
        <f aca="false">Enterprise!G198</f>
        <v>196726.04</v>
      </c>
      <c r="H12" s="65" t="n">
        <f aca="false">Enterprise!H198</f>
        <v>211228.52</v>
      </c>
      <c r="I12" s="65" t="n">
        <f aca="false">Enterprise!I198</f>
        <v>213463.27</v>
      </c>
      <c r="J12" s="65" t="n">
        <f aca="false">Enterprise!J198</f>
        <v>221103.56</v>
      </c>
      <c r="K12" s="65" t="n">
        <f aca="false">Enterprise!K198</f>
        <v>248370.94</v>
      </c>
      <c r="L12" s="65" t="n">
        <f aca="false">Enterprise!L198</f>
        <v>248850.22</v>
      </c>
      <c r="M12" s="65" t="n">
        <f aca="false">Enterprise!M198</f>
        <v>252558.910133</v>
      </c>
      <c r="N12" s="65" t="n">
        <f aca="false">Enterprise!N198</f>
        <v>255208.333864375</v>
      </c>
      <c r="O12" s="65" t="n">
        <f aca="false">Enterprise!O198</f>
        <v>268076.970864388</v>
      </c>
      <c r="P12" s="65" t="n">
        <f aca="false">Enterprise!P198</f>
        <v>279410.093738776</v>
      </c>
      <c r="Q12" s="65" t="n">
        <f aca="false">Enterprise!Q198</f>
        <v>285510.929868388</v>
      </c>
      <c r="R12" s="65" t="n">
        <f aca="false">Enterprise!R198</f>
        <v>294303.000697124</v>
      </c>
      <c r="S12" s="65" t="n">
        <f aca="false">Enterprise!S198</f>
        <v>304956.226560831</v>
      </c>
      <c r="T12" s="65" t="n">
        <f aca="false">Enterprise!T198</f>
        <v>305951.804366362</v>
      </c>
      <c r="U12" s="65" t="n">
        <f aca="false">Enterprise!U198</f>
        <v>318886.098430946</v>
      </c>
      <c r="V12" s="65" t="n">
        <f aca="false">Enterprise!V198</f>
        <v>320622.744612315</v>
      </c>
      <c r="W12" s="65" t="n">
        <f aca="false">Enterprise!W198</f>
        <v>324437.017302965</v>
      </c>
      <c r="X12" s="65" t="n">
        <f aca="false">Enterprise!X198</f>
        <v>330240.159806503</v>
      </c>
      <c r="Y12" s="65" t="n">
        <f aca="false">Enterprise!Y198</f>
        <v>335702.459486471</v>
      </c>
      <c r="Z12" s="65" t="n">
        <f aca="false">Enterprise!Z198</f>
        <v>339999.40085151</v>
      </c>
      <c r="AA12" s="65" t="n">
        <f aca="false">Enterprise!AA198</f>
        <v>344764.095172794</v>
      </c>
      <c r="AB12" s="65" t="n">
        <f aca="false">Enterprise!AB198</f>
        <v>351750.350995172</v>
      </c>
    </row>
    <row r="13" customFormat="false" ht="15" hidden="false" customHeight="false" outlineLevel="0" collapsed="false">
      <c r="A13" s="28" t="s">
        <v>404</v>
      </c>
      <c r="B13" s="62" t="s">
        <v>51</v>
      </c>
      <c r="C13" s="64" t="n">
        <f aca="false">SUM(E13:P13)</f>
        <v>326220.70062</v>
      </c>
      <c r="D13" s="64" t="n">
        <f aca="false">SUM(Q13:AB13)</f>
        <v>418703.05741026</v>
      </c>
      <c r="E13" s="65" t="n">
        <f aca="false">Enterprise!E201</f>
        <v>36878.38</v>
      </c>
      <c r="F13" s="65" t="n">
        <f aca="false">Enterprise!F201</f>
        <v>0</v>
      </c>
      <c r="G13" s="65" t="n">
        <f aca="false">Enterprise!G201</f>
        <v>43212.58</v>
      </c>
      <c r="H13" s="65" t="n">
        <f aca="false">Enterprise!H201</f>
        <v>0</v>
      </c>
      <c r="I13" s="65" t="n">
        <f aca="false">Enterprise!I201</f>
        <v>26378.48</v>
      </c>
      <c r="J13" s="65" t="n">
        <f aca="false">Enterprise!J201</f>
        <v>52996.47</v>
      </c>
      <c r="K13" s="65" t="n">
        <f aca="false">Enterprise!K201</f>
        <v>22095.51</v>
      </c>
      <c r="L13" s="65" t="n">
        <f aca="false">Enterprise!L201</f>
        <v>34914.76</v>
      </c>
      <c r="M13" s="65" t="n">
        <f aca="false">Enterprise!M201</f>
        <v>109744.52062</v>
      </c>
      <c r="N13" s="65" t="n">
        <f aca="false">Enterprise!N201</f>
        <v>0</v>
      </c>
      <c r="O13" s="65" t="n">
        <f aca="false">Enterprise!O201</f>
        <v>0</v>
      </c>
      <c r="P13" s="65" t="n">
        <f aca="false">Enterprise!P201</f>
        <v>0</v>
      </c>
      <c r="Q13" s="65" t="n">
        <f aca="false">Enterprise!Q201</f>
        <v>20670.2974101282</v>
      </c>
      <c r="R13" s="65" t="n">
        <f aca="false">Enterprise!R201</f>
        <v>0</v>
      </c>
      <c r="S13" s="65" t="n">
        <f aca="false">Enterprise!S201</f>
        <v>104530.050501205</v>
      </c>
      <c r="T13" s="65" t="n">
        <f aca="false">Enterprise!T201</f>
        <v>0</v>
      </c>
      <c r="U13" s="65" t="n">
        <f aca="false">Enterprise!U201</f>
        <v>0</v>
      </c>
      <c r="V13" s="65" t="n">
        <f aca="false">Enterprise!V201</f>
        <v>121386.096495831</v>
      </c>
      <c r="W13" s="65" t="n">
        <f aca="false">Enterprise!W201</f>
        <v>0</v>
      </c>
      <c r="X13" s="65" t="n">
        <f aca="false">Enterprise!X201</f>
        <v>11712.120364688</v>
      </c>
      <c r="Y13" s="65" t="n">
        <f aca="false">Enterprise!Y201</f>
        <v>53716.3380313987</v>
      </c>
      <c r="Z13" s="65" t="n">
        <f aca="false">Enterprise!Z201</f>
        <v>66428.4736232323</v>
      </c>
      <c r="AA13" s="65" t="n">
        <f aca="false">Enterprise!AA201</f>
        <v>40259.6809837771</v>
      </c>
      <c r="AB13" s="65" t="n">
        <f aca="false">Enterprise!AB201</f>
        <v>0</v>
      </c>
    </row>
    <row r="14" customFormat="false" ht="15" hidden="false" customHeight="false" outlineLevel="0" collapsed="false">
      <c r="A14" s="28" t="s">
        <v>405</v>
      </c>
      <c r="B14" s="62" t="s">
        <v>51</v>
      </c>
      <c r="C14" s="64" t="n">
        <f aca="false">SUM(E14:P14)</f>
        <v>-4517.802</v>
      </c>
      <c r="D14" s="64" t="n">
        <f aca="false">SUM(Q14:AB14)</f>
        <v>0</v>
      </c>
      <c r="E14" s="65" t="n">
        <f aca="false">Enterprise!E214</f>
        <v>-0</v>
      </c>
      <c r="F14" s="65" t="n">
        <f aca="false">Enterprise!F214</f>
        <v>-0</v>
      </c>
      <c r="G14" s="65" t="n">
        <f aca="false">Enterprise!G214</f>
        <v>-0</v>
      </c>
      <c r="H14" s="65" t="n">
        <f aca="false">Enterprise!H214</f>
        <v>-0</v>
      </c>
      <c r="I14" s="65" t="n">
        <f aca="false">Enterprise!I214</f>
        <v>-0</v>
      </c>
      <c r="J14" s="65" t="n">
        <f aca="false">Enterprise!J214</f>
        <v>-0</v>
      </c>
      <c r="K14" s="65" t="n">
        <f aca="false">Enterprise!K214</f>
        <v>-0</v>
      </c>
      <c r="L14" s="65" t="n">
        <f aca="false">Enterprise!L214</f>
        <v>-4517.8</v>
      </c>
      <c r="M14" s="65" t="n">
        <f aca="false">Enterprise!M214</f>
        <v>-0</v>
      </c>
      <c r="N14" s="65" t="n">
        <f aca="false">Enterprise!N214</f>
        <v>-0.00199999999949796</v>
      </c>
      <c r="O14" s="65" t="n">
        <f aca="false">Enterprise!O214</f>
        <v>-0</v>
      </c>
      <c r="P14" s="65" t="n">
        <f aca="false">Enterprise!P214</f>
        <v>-0</v>
      </c>
      <c r="Q14" s="65" t="n">
        <f aca="false">Enterprise!Q214</f>
        <v>-0</v>
      </c>
      <c r="R14" s="65" t="n">
        <f aca="false">Enterprise!R214</f>
        <v>-0</v>
      </c>
      <c r="S14" s="65" t="n">
        <f aca="false">Enterprise!S214</f>
        <v>-0</v>
      </c>
      <c r="T14" s="65" t="n">
        <f aca="false">Enterprise!T214</f>
        <v>-0</v>
      </c>
      <c r="U14" s="65" t="n">
        <f aca="false">Enterprise!U214</f>
        <v>-0</v>
      </c>
      <c r="V14" s="65" t="n">
        <f aca="false">Enterprise!V214</f>
        <v>-0</v>
      </c>
      <c r="W14" s="65" t="n">
        <f aca="false">Enterprise!W214</f>
        <v>-0</v>
      </c>
      <c r="X14" s="65" t="n">
        <f aca="false">Enterprise!X214</f>
        <v>-0</v>
      </c>
      <c r="Y14" s="65" t="n">
        <f aca="false">Enterprise!Y214</f>
        <v>-0</v>
      </c>
      <c r="Z14" s="65" t="n">
        <f aca="false">Enterprise!Z214</f>
        <v>-0</v>
      </c>
      <c r="AA14" s="65" t="n">
        <f aca="false">Enterprise!AA214</f>
        <v>-0</v>
      </c>
      <c r="AB14" s="65" t="n">
        <f aca="false">Enterprise!AB214</f>
        <v>-0</v>
      </c>
    </row>
    <row r="15" customFormat="false" ht="15" hidden="false" customHeight="false" outlineLevel="0" collapsed="false">
      <c r="A15" s="58" t="s">
        <v>406</v>
      </c>
      <c r="B15" s="59"/>
      <c r="C15" s="60" t="n">
        <f aca="false">SUM(E15:P15)</f>
        <v>6615228.14489467</v>
      </c>
      <c r="D15" s="60" t="n">
        <f aca="false">SUM(Q15:AB15)</f>
        <v>8683872.00089744</v>
      </c>
      <c r="E15" s="60" t="n">
        <f aca="false">SUM(E9:E14)</f>
        <v>496459.665909091</v>
      </c>
      <c r="F15" s="60" t="n">
        <f aca="false">SUM(F9:F14)</f>
        <v>474887.208636364</v>
      </c>
      <c r="G15" s="60" t="n">
        <f aca="false">SUM(G9:G14)</f>
        <v>513179.913636364</v>
      </c>
      <c r="H15" s="60" t="n">
        <f aca="false">SUM(H9:H14)</f>
        <v>488970.007272727</v>
      </c>
      <c r="I15" s="60" t="n">
        <f aca="false">SUM(I9:I14)</f>
        <v>523579.009090909</v>
      </c>
      <c r="J15" s="60" t="n">
        <f aca="false">SUM(J9:J14)</f>
        <v>568226.285909091</v>
      </c>
      <c r="K15" s="60" t="n">
        <f aca="false">SUM(K9:K14)</f>
        <v>566906.225909091</v>
      </c>
      <c r="L15" s="60" t="n">
        <f aca="false">SUM(L9:L14)</f>
        <v>574144.092727273</v>
      </c>
      <c r="M15" s="60" t="n">
        <f aca="false">SUM(M9:M14)</f>
        <v>661779.611575908</v>
      </c>
      <c r="N15" s="60" t="n">
        <f aca="false">SUM(N9:N14)</f>
        <v>563506.60055748</v>
      </c>
      <c r="O15" s="60" t="n">
        <f aca="false">SUM(O9:O14)</f>
        <v>585672.333198978</v>
      </c>
      <c r="P15" s="60" t="n">
        <f aca="false">SUM(P9:P14)</f>
        <v>597917.190471396</v>
      </c>
      <c r="Q15" s="60" t="n">
        <f aca="false">SUM(Q9:Q14)</f>
        <v>641074.675912336</v>
      </c>
      <c r="R15" s="60" t="n">
        <f aca="false">SUM(R9:R14)</f>
        <v>633115.340802301</v>
      </c>
      <c r="S15" s="60" t="n">
        <f aca="false">SUM(S9:S14)</f>
        <v>757581.95800571</v>
      </c>
      <c r="T15" s="60" t="n">
        <f aca="false">SUM(T9:T14)</f>
        <v>659160.643120203</v>
      </c>
      <c r="U15" s="60" t="n">
        <f aca="false">SUM(U9:U14)</f>
        <v>681634.132861944</v>
      </c>
      <c r="V15" s="60" t="n">
        <f aca="false">SUM(V9:V14)</f>
        <v>804015.768880625</v>
      </c>
      <c r="W15" s="60" t="n">
        <f aca="false">SUM(W9:W14)</f>
        <v>693553.307698635</v>
      </c>
      <c r="X15" s="60" t="n">
        <f aca="false">SUM(X9:X14)</f>
        <v>710548.889431038</v>
      </c>
      <c r="Y15" s="60" t="n">
        <f aca="false">SUM(Y9:Y14)</f>
        <v>768417.607374337</v>
      </c>
      <c r="Z15" s="60" t="n">
        <f aca="false">SUM(Z9:Z14)</f>
        <v>796036.464895734</v>
      </c>
      <c r="AA15" s="60" t="n">
        <f aca="false">SUM(AA9:AA14)</f>
        <v>783106.523039435</v>
      </c>
      <c r="AB15" s="60" t="n">
        <f aca="false">SUM(AB9:AB14)</f>
        <v>755626.688875146</v>
      </c>
    </row>
    <row r="16" customFormat="false" ht="15" hidden="false" customHeight="false" outlineLevel="0" collapsed="false">
      <c r="A16" s="28" t="s">
        <v>562</v>
      </c>
      <c r="B16" s="62"/>
      <c r="C16" s="64" t="n">
        <f aca="false">SUM(E16:P16)</f>
        <v>2433455.80952251</v>
      </c>
      <c r="D16" s="64" t="n">
        <f aca="false">SUM(Q16:AB16)</f>
        <v>2877021.22658795</v>
      </c>
      <c r="E16" s="73" t="n">
        <f aca="false">E10+E11</f>
        <v>181624.59</v>
      </c>
      <c r="F16" s="73" t="n">
        <f aca="false">F10+F11</f>
        <v>183869.59</v>
      </c>
      <c r="G16" s="73" t="n">
        <f aca="false">G10+G11</f>
        <v>190998.21</v>
      </c>
      <c r="H16" s="73" t="n">
        <f aca="false">H10+H11</f>
        <v>193712.39</v>
      </c>
      <c r="I16" s="73" t="n">
        <f aca="false">I10+I11</f>
        <v>201515.91</v>
      </c>
      <c r="J16" s="73" t="n">
        <f aca="false">J10+J11</f>
        <v>208438.7</v>
      </c>
      <c r="K16" s="73" t="n">
        <f aca="false">K10+K11</f>
        <v>208095.44</v>
      </c>
      <c r="L16" s="73" t="n">
        <f aca="false">L10+L11</f>
        <v>208487.64</v>
      </c>
      <c r="M16" s="73" t="n">
        <f aca="false">M10+M11</f>
        <v>208362.400391317</v>
      </c>
      <c r="N16" s="73" t="n">
        <f aca="false">N10+N11</f>
        <v>212611.158638154</v>
      </c>
      <c r="O16" s="73" t="n">
        <f aca="false">O10+O11</f>
        <v>216381.179459176</v>
      </c>
      <c r="P16" s="73" t="n">
        <f aca="false">P10+P11</f>
        <v>219358.601033861</v>
      </c>
      <c r="Q16" s="73" t="n">
        <f aca="false">Q10+Q11</f>
        <v>223418.077627166</v>
      </c>
      <c r="R16" s="73" t="n">
        <f aca="false">R10+R11</f>
        <v>227000.67508792</v>
      </c>
      <c r="S16" s="73" t="n">
        <f aca="false">S10+S11</f>
        <v>230764.887229039</v>
      </c>
      <c r="T16" s="73" t="n">
        <f aca="false">T10+T11</f>
        <v>233812.780469032</v>
      </c>
      <c r="U16" s="73" t="n">
        <f aca="false">U10+U11</f>
        <v>236646.703972445</v>
      </c>
      <c r="V16" s="73" t="n">
        <f aca="false">V10+V11</f>
        <v>239597.490649964</v>
      </c>
      <c r="W16" s="73" t="n">
        <f aca="false">W10+W11</f>
        <v>241517.389934856</v>
      </c>
      <c r="X16" s="73" t="n">
        <f aca="false">X10+X11</f>
        <v>242097.191670149</v>
      </c>
      <c r="Y16" s="73" t="n">
        <f aca="false">Y10+Y11</f>
        <v>245634.312842516</v>
      </c>
      <c r="Z16" s="73" t="n">
        <f aca="false">Z10+Z11</f>
        <v>249275.875657279</v>
      </c>
      <c r="AA16" s="73" t="n">
        <f aca="false">AA10+AA11</f>
        <v>252442.744695001</v>
      </c>
      <c r="AB16" s="73" t="n">
        <f aca="false">AB10+AB11</f>
        <v>254813.096752584</v>
      </c>
    </row>
    <row r="17" customFormat="false" ht="15" hidden="false" customHeight="false" outlineLevel="0" collapsed="false">
      <c r="A17" s="28" t="s">
        <v>563</v>
      </c>
      <c r="B17" s="62"/>
      <c r="C17" s="64" t="n">
        <f aca="false">SUM(E17:P17)</f>
        <v>3128201.11722054</v>
      </c>
      <c r="D17" s="64" t="n">
        <f aca="false">SUM(Q17:AB17)</f>
        <v>4275827.34556164</v>
      </c>
      <c r="E17" s="73" t="n">
        <f aca="false">E12+E13+E14</f>
        <v>239324.28</v>
      </c>
      <c r="F17" s="73" t="n">
        <f aca="false">F12+F13+F14</f>
        <v>209055.46</v>
      </c>
      <c r="G17" s="73" t="n">
        <f aca="false">G12+G13+G14</f>
        <v>239938.62</v>
      </c>
      <c r="H17" s="73" t="n">
        <f aca="false">H12+H13+H14</f>
        <v>211228.52</v>
      </c>
      <c r="I17" s="73" t="n">
        <f aca="false">I12+I13+I14</f>
        <v>239841.75</v>
      </c>
      <c r="J17" s="73" t="n">
        <f aca="false">J12+J13+J14</f>
        <v>274100.03</v>
      </c>
      <c r="K17" s="73" t="n">
        <f aca="false">K12+K13+K14</f>
        <v>270466.45</v>
      </c>
      <c r="L17" s="73" t="n">
        <f aca="false">L12+L13+L14</f>
        <v>279247.18</v>
      </c>
      <c r="M17" s="73" t="n">
        <f aca="false">M12+M13+M14</f>
        <v>362303.430753</v>
      </c>
      <c r="N17" s="73" t="n">
        <f aca="false">N12+N13+N14</f>
        <v>255208.331864375</v>
      </c>
      <c r="O17" s="73" t="n">
        <f aca="false">O12+O13+O14</f>
        <v>268076.970864388</v>
      </c>
      <c r="P17" s="73" t="n">
        <f aca="false">P12+P13+P14</f>
        <v>279410.093738776</v>
      </c>
      <c r="Q17" s="73" t="n">
        <f aca="false">Q12+Q13+Q14</f>
        <v>306181.227278516</v>
      </c>
      <c r="R17" s="73" t="n">
        <f aca="false">R12+R13+R14</f>
        <v>294303.000697124</v>
      </c>
      <c r="S17" s="73" t="n">
        <f aca="false">S12+S13+S14</f>
        <v>409486.277062036</v>
      </c>
      <c r="T17" s="73" t="n">
        <f aca="false">T12+T13+T14</f>
        <v>305951.804366362</v>
      </c>
      <c r="U17" s="73" t="n">
        <f aca="false">U12+U13+U14</f>
        <v>318886.098430946</v>
      </c>
      <c r="V17" s="73" t="n">
        <f aca="false">V12+V13+V14</f>
        <v>442008.841108146</v>
      </c>
      <c r="W17" s="73" t="n">
        <f aca="false">W12+W13+W14</f>
        <v>324437.017302965</v>
      </c>
      <c r="X17" s="73" t="n">
        <f aca="false">X12+X13+X14</f>
        <v>341952.280171191</v>
      </c>
      <c r="Y17" s="73" t="n">
        <f aca="false">Y12+Y13+Y14</f>
        <v>389418.79751787</v>
      </c>
      <c r="Z17" s="73" t="n">
        <f aca="false">Z12+Z13+Z14</f>
        <v>406427.874474742</v>
      </c>
      <c r="AA17" s="73" t="n">
        <f aca="false">AA12+AA13+AA14</f>
        <v>385023.776156571</v>
      </c>
      <c r="AB17" s="73" t="n">
        <f aca="false">AB12+AB13+AB14</f>
        <v>351750.350995172</v>
      </c>
    </row>
    <row r="18" customFormat="false" ht="15" hidden="false" customHeight="false" outlineLevel="0" collapsed="false">
      <c r="A18" s="28" t="s">
        <v>350</v>
      </c>
      <c r="B18" s="62" t="s">
        <v>774</v>
      </c>
      <c r="E18" s="63" t="n">
        <f aca="false">IF(History!$C$20=0,0,E15/History!$C$20-1)</f>
        <v>0.506414436018431</v>
      </c>
      <c r="F18" s="63" t="n">
        <f aca="false">IF(History!$D$20=0,0,F15/History!$D$20-1)</f>
        <v>0.489527634936407</v>
      </c>
      <c r="G18" s="63" t="n">
        <f aca="false">IF(History!$E$20=0,0,G15/History!$E$20-1)</f>
        <v>0.467095755520031</v>
      </c>
      <c r="H18" s="63" t="n">
        <f aca="false">IF(History!$F$20=0,0,H15/History!$F$20-1)</f>
        <v>0.453728484160902</v>
      </c>
      <c r="I18" s="63" t="n">
        <f aca="false">IF(History!$G$20=0,0,I15/History!$G$20-1)</f>
        <v>0.466445121947276</v>
      </c>
      <c r="J18" s="63" t="n">
        <f aca="false">IF(History!$H$20=0,0,J15/History!$H$20-1)</f>
        <v>0.333171178015497</v>
      </c>
      <c r="K18" s="63" t="n">
        <f aca="false">IF(History!$I$20=0,0,K15/History!$I$20-1)</f>
        <v>0.505296468877444</v>
      </c>
      <c r="L18" s="63" t="n">
        <f aca="false">IF(History!$J$20=0,0,L15/History!$J$20-1)</f>
        <v>0.352704029877344</v>
      </c>
      <c r="M18" s="63" t="n">
        <f aca="false">IF(History!$K$20=0,0,M15/History!$K$20-1)</f>
        <v>0.361300545678457</v>
      </c>
      <c r="N18" s="63" t="n">
        <f aca="false">IF(History!$L$20=0,0,N15/History!$L$20-1)</f>
        <v>0.215714608001203</v>
      </c>
      <c r="O18" s="63" t="n">
        <f aca="false">IF(History!$M$20=0,0,O15/History!$M$20-1)</f>
        <v>0.351167962354175</v>
      </c>
      <c r="P18" s="63" t="n">
        <f aca="false">IF(History!$N$20=0,0,P15/History!$N$20-1)</f>
        <v>0.347930216670556</v>
      </c>
      <c r="Q18" s="75" t="n">
        <f aca="false">IF(E15=0,0,Q15/E15-1)</f>
        <v>0.291292566010239</v>
      </c>
      <c r="R18" s="75" t="n">
        <f aca="false">IF(F15=0,0,R15/F15-1)</f>
        <v>0.333190975221861</v>
      </c>
      <c r="S18" s="75" t="n">
        <f aca="false">IF(G15=0,0,S15/G15-1)</f>
        <v>0.476250215324148</v>
      </c>
      <c r="T18" s="75" t="n">
        <f aca="false">IF(H15=0,0,T15/H15-1)</f>
        <v>0.348059458281969</v>
      </c>
      <c r="U18" s="75" t="n">
        <f aca="false">IF(I15=0,0,U15/I15-1)</f>
        <v>0.301874446887139</v>
      </c>
      <c r="V18" s="75" t="n">
        <f aca="false">IF(J15=0,0,V15/J15-1)</f>
        <v>0.414957014166109</v>
      </c>
      <c r="W18" s="75" t="n">
        <f aca="false">IF(K15=0,0,W15/K15-1)</f>
        <v>0.223400407336244</v>
      </c>
      <c r="X18" s="75" t="n">
        <f aca="false">IF(L15=0,0,X15/L15-1)</f>
        <v>0.237579378472435</v>
      </c>
      <c r="Y18" s="75" t="n">
        <f aca="false">IF(M15=0,0,Y15/M15-1)</f>
        <v>0.161138230814469</v>
      </c>
      <c r="Z18" s="75" t="n">
        <f aca="false">IF(N15=0,0,Z15/N15-1)</f>
        <v>0.412647986923685</v>
      </c>
      <c r="AA18" s="75" t="n">
        <f aca="false">IF(O15=0,0,AA15/O15-1)</f>
        <v>0.337106908844505</v>
      </c>
      <c r="AB18" s="75" t="n">
        <f aca="false">IF(P15=0,0,AB15/P15-1)</f>
        <v>0.263764783680851</v>
      </c>
    </row>
    <row r="19" customFormat="false" ht="15" hidden="false" customHeight="false" outlineLevel="0" collapsed="false">
      <c r="A19" s="22" t="s">
        <v>775</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776</v>
      </c>
      <c r="B20" s="62" t="s">
        <v>777</v>
      </c>
      <c r="C20" s="64" t="n">
        <f aca="false">SUM(E20:P20)</f>
        <v>2878561.65684007</v>
      </c>
      <c r="D20" s="64" t="n">
        <f aca="false">SUM(Q20:AB20)</f>
        <v>3799161.83576348</v>
      </c>
      <c r="E20" s="65" t="n">
        <f aca="false">Credits!E51*Assumptions!$C$125+Team!E18*Assumptions!$C$134+SUMPRODUCT(Enterprise!E135:E154,Account_Register!$N$7:$N$26)+Enterprise!E214*Account_Register!$N$7</f>
        <v>218187.834454545</v>
      </c>
      <c r="F20" s="65" t="n">
        <f aca="false">Credits!F51*Assumptions!$C$125+Team!F18*Assumptions!$C$134+SUMPRODUCT(Enterprise!F135:F154,Account_Register!$N$7:$N$26)+Enterprise!F214*Account_Register!$N$7</f>
        <v>204416.263818182</v>
      </c>
      <c r="G20" s="65" t="n">
        <f aca="false">Credits!G51*Assumptions!$C$125+Team!G18*Assumptions!$C$134+SUMPRODUCT(Enterprise!G135:G154,Account_Register!$N$7:$N$26)+Enterprise!G214*Account_Register!$N$7</f>
        <v>217312.087818182</v>
      </c>
      <c r="H20" s="65" t="n">
        <f aca="false">Credits!H51*Assumptions!$C$125+Team!H18*Assumptions!$C$134+SUMPRODUCT(Enterprise!H135:H154,Account_Register!$N$7:$N$26)+Enterprise!H214*Account_Register!$N$7</f>
        <v>215333.946636364</v>
      </c>
      <c r="I20" s="65" t="n">
        <f aca="false">Credits!I51*Assumptions!$C$125+Team!I18*Assumptions!$C$134+SUMPRODUCT(Enterprise!I135:I154,Account_Register!$N$7:$N$26)+Enterprise!I214*Account_Register!$N$7</f>
        <v>229047.308045455</v>
      </c>
      <c r="J20" s="65" t="n">
        <f aca="false">Credits!J51*Assumptions!$C$125+Team!J18*Assumptions!$C$134+SUMPRODUCT(Enterprise!J135:J154,Account_Register!$N$7:$N$26)+Enterprise!J214*Account_Register!$N$7</f>
        <v>253228.343454545</v>
      </c>
      <c r="K20" s="65" t="n">
        <f aca="false">Credits!K51*Assumptions!$C$125+Team!K18*Assumptions!$C$134+SUMPRODUCT(Enterprise!K135:K154,Account_Register!$N$7:$N$26)+Enterprise!K214*Account_Register!$N$7</f>
        <v>241381.616954546</v>
      </c>
      <c r="L20" s="65" t="n">
        <f aca="false">Credits!L51*Assumptions!$C$125+Team!L18*Assumptions!$C$134+SUMPRODUCT(Enterprise!L135:L154,Account_Register!$N$7:$N$26)+Enterprise!L214*Account_Register!$N$7</f>
        <v>237619.323363636</v>
      </c>
      <c r="M20" s="65" t="n">
        <f aca="false">Credits!M51*Assumptions!$C$125+Team!M18*Assumptions!$C$134+SUMPRODUCT(Enterprise!M135:M154,Account_Register!$N$7:$N$26)+Enterprise!M214*Account_Register!$N$7</f>
        <v>303373.565391272</v>
      </c>
      <c r="N20" s="65" t="n">
        <f aca="false">Credits!N51*Assumptions!$C$125+Team!N18*Assumptions!$C$134+SUMPRODUCT(Enterprise!N135:N154,Account_Register!$N$7:$N$26)+Enterprise!N214*Account_Register!$N$7</f>
        <v>243971.966369079</v>
      </c>
      <c r="O20" s="65" t="n">
        <f aca="false">Credits!O51*Assumptions!$C$125+Team!O18*Assumptions!$C$134+SUMPRODUCT(Enterprise!O135:O154,Account_Register!$N$7:$N$26)+Enterprise!O214*Account_Register!$N$7</f>
        <v>254362.81732459</v>
      </c>
      <c r="P20" s="65" t="n">
        <f aca="false">Credits!P51*Assumptions!$C$125+Team!P18*Assumptions!$C$134+SUMPRODUCT(Enterprise!P135:P154,Account_Register!$N$7:$N$26)+Enterprise!P214*Account_Register!$N$7</f>
        <v>260326.583209674</v>
      </c>
      <c r="Q20" s="65" t="n">
        <f aca="false">Credits!Q51*Assumptions!$C$125+Team!Q18*Assumptions!$C$134+SUMPRODUCT(Enterprise!Q135:Q154,Account_Register!$N$7:$N$26)+Enterprise!Q214*Account_Register!$N$7</f>
        <v>282210.016140078</v>
      </c>
      <c r="R20" s="65" t="n">
        <f aca="false">Credits!R51*Assumptions!$C$125+Team!R18*Assumptions!$C$134+SUMPRODUCT(Enterprise!R135:R154,Account_Register!$N$7:$N$26)+Enterprise!R214*Account_Register!$N$7</f>
        <v>276262.663058634</v>
      </c>
      <c r="S20" s="65" t="n">
        <f aca="false">Credits!S51*Assumptions!$C$125+Team!S18*Assumptions!$C$134+SUMPRODUCT(Enterprise!S135:S154,Account_Register!$N$7:$N$26)+Enterprise!S214*Account_Register!$N$7</f>
        <v>337526.801154481</v>
      </c>
      <c r="T20" s="65" t="n">
        <f aca="false">Credits!T51*Assumptions!$C$125+Team!T18*Assumptions!$C$134+SUMPRODUCT(Enterprise!T135:T154,Account_Register!$N$7:$N$26)+Enterprise!T214*Account_Register!$N$7</f>
        <v>287259.394775649</v>
      </c>
      <c r="U20" s="65" t="n">
        <f aca="false">Credits!U51*Assumptions!$C$125+Team!U18*Assumptions!$C$134+SUMPRODUCT(Enterprise!U135:U154,Account_Register!$N$7:$N$26)+Enterprise!U214*Account_Register!$N$7</f>
        <v>297502.154071043</v>
      </c>
      <c r="V20" s="65" t="n">
        <f aca="false">Credits!V51*Assumptions!$C$125+Team!V18*Assumptions!$C$134+SUMPRODUCT(Enterprise!V135:V154,Account_Register!$N$7:$N$26)+Enterprise!V214*Account_Register!$N$7</f>
        <v>331010.163671025</v>
      </c>
      <c r="W20" s="65" t="n">
        <f aca="false">Credits!W51*Assumptions!$C$125+Team!W18*Assumptions!$C$134+SUMPRODUCT(Enterprise!W135:W154,Account_Register!$N$7:$N$26)+Enterprise!W214*Account_Register!$N$7</f>
        <v>302674.414986241</v>
      </c>
      <c r="X20" s="65" t="n">
        <f aca="false">Credits!X51*Assumptions!$C$125+Team!X18*Assumptions!$C$134+SUMPRODUCT(Enterprise!X135:X154,Account_Register!$N$7:$N$26)+Enterprise!X214*Account_Register!$N$7</f>
        <v>306941.641052127</v>
      </c>
      <c r="Y20" s="65" t="n">
        <f aca="false">Credits!Y51*Assumptions!$C$125+Team!Y18*Assumptions!$C$134+SUMPRODUCT(Enterprise!Y135:Y154,Account_Register!$N$7:$N$26)+Enterprise!Y214*Account_Register!$N$7</f>
        <v>344667.093409854</v>
      </c>
      <c r="Z20" s="65" t="n">
        <f aca="false">Credits!Z51*Assumptions!$C$125+Team!Z18*Assumptions!$C$134+SUMPRODUCT(Enterprise!Z135:Z154,Account_Register!$N$7:$N$26)+Enterprise!Z214*Account_Register!$N$7</f>
        <v>352610.929700349</v>
      </c>
      <c r="AA20" s="65" t="n">
        <f aca="false">Credits!AA51*Assumptions!$C$125+Team!AA18*Assumptions!$C$134+SUMPRODUCT(Enterprise!AA135:AA154,Account_Register!$N$7:$N$26)+Enterprise!AA214*Account_Register!$N$7</f>
        <v>349504.198298336</v>
      </c>
      <c r="AB20" s="65" t="n">
        <f aca="false">Credits!AB51*Assumptions!$C$125+Team!AB18*Assumptions!$C$134+SUMPRODUCT(Enterprise!AB135:AB154,Account_Register!$N$7:$N$26)+Enterprise!AB214*Account_Register!$N$7</f>
        <v>330992.365445667</v>
      </c>
    </row>
    <row r="21" customFormat="false" ht="15" hidden="false" customHeight="false" outlineLevel="0" collapsed="false">
      <c r="A21" s="28" t="s">
        <v>778</v>
      </c>
      <c r="B21" s="62" t="s">
        <v>777</v>
      </c>
      <c r="C21" s="64" t="n">
        <f aca="false">SUM(E21:P21)</f>
        <v>1930242.8193299</v>
      </c>
      <c r="D21" s="64" t="n">
        <f aca="false">SUM(Q21:AB21)</f>
        <v>2554728.79434378</v>
      </c>
      <c r="E21" s="65" t="n">
        <f aca="false">Credits!E51*Assumptions!$C$126+Team!E18*Assumptions!$C$135+SUMPRODUCT(Enterprise!E135:E154,Account_Register!$O$7:$O$26)+Enterprise!E214*Account_Register!$O$7</f>
        <v>143959.925272727</v>
      </c>
      <c r="F21" s="65" t="n">
        <f aca="false">Credits!F51*Assumptions!$C$126+Team!F18*Assumptions!$C$135+SUMPRODUCT(Enterprise!F135:F154,Account_Register!$O$7:$O$26)+Enterprise!F214*Account_Register!$O$7</f>
        <v>137752.077590909</v>
      </c>
      <c r="G21" s="65" t="n">
        <f aca="false">Credits!G51*Assumptions!$C$126+Team!G18*Assumptions!$C$135+SUMPRODUCT(Enterprise!G135:G154,Account_Register!$O$7:$O$26)+Enterprise!G214*Account_Register!$O$7</f>
        <v>158804.705590909</v>
      </c>
      <c r="H21" s="65" t="n">
        <f aca="false">Credits!H51*Assumptions!$C$126+Team!H18*Assumptions!$C$135+SUMPRODUCT(Enterprise!H135:H154,Account_Register!$O$7:$O$26)+Enterprise!H214*Account_Register!$O$7</f>
        <v>139936.677681818</v>
      </c>
      <c r="I21" s="65" t="n">
        <f aca="false">Credits!I51*Assumptions!$C$126+Team!I18*Assumptions!$C$135+SUMPRODUCT(Enterprise!I135:I154,Account_Register!$O$7:$O$26)+Enterprise!I214*Account_Register!$O$7</f>
        <v>147426.972727273</v>
      </c>
      <c r="J21" s="65" t="n">
        <f aca="false">Credits!J51*Assumptions!$C$126+Team!J18*Assumptions!$C$135+SUMPRODUCT(Enterprise!J135:J154,Account_Register!$O$7:$O$26)+Enterprise!J214*Account_Register!$O$7</f>
        <v>165246.954272727</v>
      </c>
      <c r="K21" s="65" t="n">
        <f aca="false">Credits!K51*Assumptions!$C$126+Team!K18*Assumptions!$C$135+SUMPRODUCT(Enterprise!K135:K154,Account_Register!$O$7:$O$26)+Enterprise!K214*Account_Register!$O$7</f>
        <v>167996.529772727</v>
      </c>
      <c r="L21" s="65" t="n">
        <f aca="false">Credits!L51*Assumptions!$C$126+Team!L18*Assumptions!$C$135+SUMPRODUCT(Enterprise!L135:L154,Account_Register!$O$7:$O$26)+Enterprise!L214*Account_Register!$O$7</f>
        <v>177567.787818182</v>
      </c>
      <c r="M21" s="65" t="n">
        <f aca="false">Credits!M51*Assumptions!$C$126+Team!M18*Assumptions!$C$135+SUMPRODUCT(Enterprise!M135:M154,Account_Register!$O$7:$O$26)+Enterprise!M214*Account_Register!$O$7</f>
        <v>178375.012363957</v>
      </c>
      <c r="N21" s="65" t="n">
        <f aca="false">Credits!N51*Assumptions!$C$126+Team!N18*Assumptions!$C$135+SUMPRODUCT(Enterprise!N135:N154,Account_Register!$O$7:$O$26)+Enterprise!N214*Account_Register!$O$7</f>
        <v>165712.860687767</v>
      </c>
      <c r="O21" s="65" t="n">
        <f aca="false">Credits!O51*Assumptions!$C$126+Team!O18*Assumptions!$C$135+SUMPRODUCT(Enterprise!O135:O154,Account_Register!$O$7:$O$26)+Enterprise!O214*Account_Register!$O$7</f>
        <v>172420.544214754</v>
      </c>
      <c r="P21" s="65" t="n">
        <f aca="false">Credits!P51*Assumptions!$C$126+Team!P18*Assumptions!$C$135+SUMPRODUCT(Enterprise!P135:P154,Account_Register!$O$7:$O$26)+Enterprise!P214*Account_Register!$O$7</f>
        <v>175042.771336144</v>
      </c>
      <c r="Q21" s="65" t="n">
        <f aca="false">Credits!Q51*Assumptions!$C$126+Team!Q18*Assumptions!$C$135+SUMPRODUCT(Enterprise!Q135:Q154,Account_Register!$O$7:$O$26)+Enterprise!Q214*Account_Register!$O$7</f>
        <v>187878.098288823</v>
      </c>
      <c r="R21" s="65" t="n">
        <f aca="false">Credits!R51*Assumptions!$C$126+Team!R18*Assumptions!$C$135+SUMPRODUCT(Enterprise!R135:R154,Account_Register!$O$7:$O$26)+Enterprise!R214*Account_Register!$O$7</f>
        <v>185589.950514154</v>
      </c>
      <c r="S21" s="65" t="n">
        <f aca="false">Credits!S51*Assumptions!$C$126+Team!S18*Assumptions!$C$135+SUMPRODUCT(Enterprise!S135:S154,Account_Register!$O$7:$O$26)+Enterprise!S214*Account_Register!$O$7</f>
        <v>215006.976650467</v>
      </c>
      <c r="T21" s="65" t="n">
        <f aca="false">Credits!T51*Assumptions!$C$126+Team!T18*Assumptions!$C$135+SUMPRODUCT(Enterprise!T135:T154,Account_Register!$O$7:$O$26)+Enterprise!T214*Account_Register!$O$7</f>
        <v>194039.881888742</v>
      </c>
      <c r="U21" s="65" t="n">
        <f aca="false">Credits!U51*Assumptions!$C$126+Team!U18*Assumptions!$C$135+SUMPRODUCT(Enterprise!U135:U154,Account_Register!$O$7:$O$26)+Enterprise!U214*Account_Register!$O$7</f>
        <v>200489.802685947</v>
      </c>
      <c r="V21" s="65" t="n">
        <f aca="false">Credits!V51*Assumptions!$C$126+Team!V18*Assumptions!$C$135+SUMPRODUCT(Enterprise!V135:V154,Account_Register!$O$7:$O$26)+Enterprise!V214*Account_Register!$O$7</f>
        <v>258800.835321234</v>
      </c>
      <c r="W21" s="65" t="n">
        <f aca="false">Credits!W51*Assumptions!$C$126+Team!W18*Assumptions!$C$135+SUMPRODUCT(Enterprise!W135:W154,Account_Register!$O$7:$O$26)+Enterprise!W214*Account_Register!$O$7</f>
        <v>203754.943267394</v>
      </c>
      <c r="X21" s="65" t="n">
        <f aca="false">Credits!X51*Assumptions!$C$126+Team!X18*Assumptions!$C$135+SUMPRODUCT(Enterprise!X135:X154,Account_Register!$O$7:$O$26)+Enterprise!X214*Account_Register!$O$7</f>
        <v>211829.504166986</v>
      </c>
      <c r="Y21" s="65" t="n">
        <f aca="false">Credits!Y51*Assumptions!$C$126+Team!Y18*Assumptions!$C$135+SUMPRODUCT(Enterprise!Y135:Y154,Account_Register!$O$7:$O$26)+Enterprise!Y214*Account_Register!$O$7</f>
        <v>217692.622943038</v>
      </c>
      <c r="Z21" s="65" t="n">
        <f aca="false">Credits!Z51*Assumptions!$C$126+Team!Z18*Assumptions!$C$135+SUMPRODUCT(Enterprise!Z135:Z154,Account_Register!$O$7:$O$26)+Enterprise!Z214*Account_Register!$O$7</f>
        <v>234463.528251118</v>
      </c>
      <c r="AA21" s="65" t="n">
        <f aca="false">Credits!AA51*Assumptions!$C$126+Team!AA18*Assumptions!$C$135+SUMPRODUCT(Enterprise!AA135:AA154,Account_Register!$O$7:$O$26)+Enterprise!AA214*Account_Register!$O$7</f>
        <v>222605.92452837</v>
      </c>
      <c r="AB21" s="65" t="n">
        <f aca="false">Credits!AB51*Assumptions!$C$126+Team!AB18*Assumptions!$C$135+SUMPRODUCT(Enterprise!AB135:AB154,Account_Register!$O$7:$O$26)+Enterprise!AB214*Account_Register!$O$7</f>
        <v>222576.725837508</v>
      </c>
    </row>
    <row r="22" customFormat="false" ht="15" hidden="false" customHeight="false" outlineLevel="0" collapsed="false">
      <c r="A22" s="28" t="s">
        <v>779</v>
      </c>
      <c r="B22" s="62" t="s">
        <v>777</v>
      </c>
      <c r="C22" s="64" t="n">
        <f aca="false">SUM(E22:P22)</f>
        <v>1806423.66872471</v>
      </c>
      <c r="D22" s="64" t="n">
        <f aca="false">SUM(Q22:AB22)</f>
        <v>2329981.37079018</v>
      </c>
      <c r="E22" s="65" t="n">
        <f aca="false">Credits!E51*Assumptions!$C$127+Team!E18*Assumptions!$C$136+SUMPRODUCT(Enterprise!E135:E154,Account_Register!$P$7:$P$26)+Enterprise!E214*Account_Register!$P$7</f>
        <v>134311.906181818</v>
      </c>
      <c r="F22" s="65" t="n">
        <f aca="false">Credits!F51*Assumptions!$C$127+Team!F18*Assumptions!$C$136+SUMPRODUCT(Enterprise!F135:F154,Account_Register!$P$7:$P$26)+Enterprise!F214*Account_Register!$P$7</f>
        <v>132718.867227273</v>
      </c>
      <c r="G22" s="65" t="n">
        <f aca="false">Credits!G51*Assumptions!$C$127+Team!G18*Assumptions!$C$136+SUMPRODUCT(Enterprise!G135:G154,Account_Register!$P$7:$P$26)+Enterprise!G214*Account_Register!$P$7</f>
        <v>137063.120227273</v>
      </c>
      <c r="H22" s="65" t="n">
        <f aca="false">Credits!H51*Assumptions!$C$127+Team!H18*Assumptions!$C$136+SUMPRODUCT(Enterprise!H135:H154,Account_Register!$P$7:$P$26)+Enterprise!H214*Account_Register!$P$7</f>
        <v>133699.382954545</v>
      </c>
      <c r="I22" s="65" t="n">
        <f aca="false">Credits!I51*Assumptions!$C$127+Team!I18*Assumptions!$C$136+SUMPRODUCT(Enterprise!I135:I154,Account_Register!$P$7:$P$26)+Enterprise!I214*Account_Register!$P$7</f>
        <v>147104.728318182</v>
      </c>
      <c r="J22" s="65" t="n">
        <f aca="false">Credits!J51*Assumptions!$C$127+Team!J18*Assumptions!$C$136+SUMPRODUCT(Enterprise!J135:J154,Account_Register!$P$7:$P$26)+Enterprise!J214*Account_Register!$P$7</f>
        <v>149750.988181818</v>
      </c>
      <c r="K22" s="65" t="n">
        <f aca="false">Credits!K51*Assumptions!$C$127+Team!K18*Assumptions!$C$136+SUMPRODUCT(Enterprise!K135:K154,Account_Register!$P$7:$P$26)+Enterprise!K214*Account_Register!$P$7</f>
        <v>157528.079181818</v>
      </c>
      <c r="L22" s="65" t="n">
        <f aca="false">Credits!L51*Assumptions!$C$127+Team!L18*Assumptions!$C$136+SUMPRODUCT(Enterprise!L135:L154,Account_Register!$P$7:$P$26)+Enterprise!L214*Account_Register!$P$7</f>
        <v>158956.981545455</v>
      </c>
      <c r="M22" s="65" t="n">
        <f aca="false">Credits!M51*Assumptions!$C$127+Team!M18*Assumptions!$C$136+SUMPRODUCT(Enterprise!M135:M154,Account_Register!$P$7:$P$26)+Enterprise!M214*Account_Register!$P$7</f>
        <v>180031.033820679</v>
      </c>
      <c r="N22" s="65" t="n">
        <f aca="false">Credits!N51*Assumptions!$C$127+Team!N18*Assumptions!$C$136+SUMPRODUCT(Enterprise!N135:N154,Account_Register!$P$7:$P$26)+Enterprise!N214*Account_Register!$P$7</f>
        <v>153821.773500634</v>
      </c>
      <c r="O22" s="65" t="n">
        <f aca="false">Credits!O51*Assumptions!$C$127+Team!O18*Assumptions!$C$136+SUMPRODUCT(Enterprise!O135:O154,Account_Register!$P$7:$P$26)+Enterprise!O214*Account_Register!$P$7</f>
        <v>158888.971659634</v>
      </c>
      <c r="P22" s="65" t="n">
        <f aca="false">Credits!P51*Assumptions!$C$127+Team!P18*Assumptions!$C$136+SUMPRODUCT(Enterprise!P135:P154,Account_Register!$P$7:$P$26)+Enterprise!P214*Account_Register!$P$7</f>
        <v>162547.835925577</v>
      </c>
      <c r="Q22" s="65" t="n">
        <f aca="false">Credits!Q51*Assumptions!$C$127+Team!Q18*Assumptions!$C$136+SUMPRODUCT(Enterprise!Q135:Q154,Account_Register!$P$7:$P$26)+Enterprise!Q214*Account_Register!$P$7</f>
        <v>170986.561483436</v>
      </c>
      <c r="R22" s="65" t="n">
        <f aca="false">Credits!R51*Assumptions!$C$127+Team!R18*Assumptions!$C$136+SUMPRODUCT(Enterprise!R135:R154,Account_Register!$P$7:$P$26)+Enterprise!R214*Account_Register!$P$7</f>
        <v>171262.727229513</v>
      </c>
      <c r="S22" s="65" t="n">
        <f aca="false">Credits!S51*Assumptions!$C$127+Team!S18*Assumptions!$C$136+SUMPRODUCT(Enterprise!S135:S154,Account_Register!$P$7:$P$26)+Enterprise!S214*Account_Register!$P$7</f>
        <v>205048.180200761</v>
      </c>
      <c r="T22" s="65" t="n">
        <f aca="false">Credits!T51*Assumptions!$C$127+Team!T18*Assumptions!$C$136+SUMPRODUCT(Enterprise!T135:T154,Account_Register!$P$7:$P$26)+Enterprise!T214*Account_Register!$P$7</f>
        <v>177861.366455813</v>
      </c>
      <c r="U22" s="65" t="n">
        <f aca="false">Credits!U51*Assumptions!$C$127+Team!U18*Assumptions!$C$136+SUMPRODUCT(Enterprise!U135:U154,Account_Register!$P$7:$P$26)+Enterprise!U214*Account_Register!$P$7</f>
        <v>183642.176104954</v>
      </c>
      <c r="V22" s="65" t="n">
        <f aca="false">Credits!V51*Assumptions!$C$127+Team!V18*Assumptions!$C$136+SUMPRODUCT(Enterprise!V135:V154,Account_Register!$P$7:$P$26)+Enterprise!V214*Account_Register!$P$7</f>
        <v>214204.769888366</v>
      </c>
      <c r="W22" s="65" t="n">
        <f aca="false">Credits!W51*Assumptions!$C$127+Team!W18*Assumptions!$C$136+SUMPRODUCT(Enterprise!W135:W154,Account_Register!$P$7:$P$26)+Enterprise!W214*Account_Register!$P$7</f>
        <v>187123.949444999</v>
      </c>
      <c r="X22" s="65" t="n">
        <f aca="false">Credits!X51*Assumptions!$C$127+Team!X18*Assumptions!$C$136+SUMPRODUCT(Enterprise!X135:X154,Account_Register!$P$7:$P$26)+Enterprise!X214*Account_Register!$P$7</f>
        <v>191777.744211925</v>
      </c>
      <c r="Y22" s="65" t="n">
        <f aca="false">Credits!Y51*Assumptions!$C$127+Team!Y18*Assumptions!$C$136+SUMPRODUCT(Enterprise!Y135:Y154,Account_Register!$P$7:$P$26)+Enterprise!Y214*Account_Register!$P$7</f>
        <v>206057.891021445</v>
      </c>
      <c r="Z22" s="65" t="n">
        <f aca="false">Credits!Z51*Assumptions!$C$127+Team!Z18*Assumptions!$C$136+SUMPRODUCT(Enterprise!Z135:Z154,Account_Register!$P$7:$P$26)+Enterprise!Z214*Account_Register!$P$7</f>
        <v>208962.006944267</v>
      </c>
      <c r="AA22" s="65" t="n">
        <f aca="false">Credits!AA51*Assumptions!$C$127+Team!AA18*Assumptions!$C$136+SUMPRODUCT(Enterprise!AA135:AA154,Account_Register!$P$7:$P$26)+Enterprise!AA214*Account_Register!$P$7</f>
        <v>210996.400212729</v>
      </c>
      <c r="AB22" s="65" t="n">
        <f aca="false">Credits!AB51*Assumptions!$C$127+Team!AB18*Assumptions!$C$136+SUMPRODUCT(Enterprise!AB135:AB154,Account_Register!$P$7:$P$26)+Enterprise!AB214*Account_Register!$P$7</f>
        <v>202057.59759197</v>
      </c>
    </row>
    <row r="23" customFormat="false" ht="15" hidden="false" customHeight="false" outlineLevel="0" collapsed="false">
      <c r="A23" s="28" t="s">
        <v>780</v>
      </c>
      <c r="B23" s="62"/>
      <c r="C23" s="64" t="n">
        <f aca="false">SUM(E23:P23)</f>
        <v>0</v>
      </c>
      <c r="D23" s="64" t="n">
        <f aca="false">SUM(Q23:AB23)</f>
        <v>0</v>
      </c>
      <c r="E23" s="73" t="n">
        <f aca="false">ROUND(E20+E21+E22-E15,2)</f>
        <v>0</v>
      </c>
      <c r="F23" s="73" t="n">
        <f aca="false">ROUND(F20+F21+F22-F15,2)</f>
        <v>0</v>
      </c>
      <c r="G23" s="73" t="n">
        <f aca="false">ROUND(G20+G21+G22-G15,2)</f>
        <v>0</v>
      </c>
      <c r="H23" s="73" t="n">
        <f aca="false">ROUND(H20+H21+H22-H15,2)</f>
        <v>0</v>
      </c>
      <c r="I23" s="73" t="n">
        <f aca="false">ROUND(I20+I21+I22-I15,2)</f>
        <v>0</v>
      </c>
      <c r="J23" s="73" t="n">
        <f aca="false">ROUND(J20+J21+J22-J15,2)</f>
        <v>0</v>
      </c>
      <c r="K23" s="73" t="n">
        <f aca="false">ROUND(K20+K21+K22-K15,2)</f>
        <v>0</v>
      </c>
      <c r="L23" s="73" t="n">
        <f aca="false">ROUND(L20+L21+L22-L15,2)</f>
        <v>0</v>
      </c>
      <c r="M23" s="73" t="n">
        <f aca="false">ROUND(M20+M21+M22-M15,2)</f>
        <v>0</v>
      </c>
      <c r="N23" s="73" t="n">
        <f aca="false">ROUND(N20+N21+N22-N15,2)</f>
        <v>0</v>
      </c>
      <c r="O23" s="73" t="n">
        <f aca="false">ROUND(O20+O21+O22-O15,2)</f>
        <v>0</v>
      </c>
      <c r="P23" s="73" t="n">
        <f aca="false">ROUND(P20+P21+P22-P15,2)</f>
        <v>0</v>
      </c>
      <c r="Q23" s="73" t="n">
        <f aca="false">ROUND(Q20+Q21+Q22-Q15,2)</f>
        <v>0</v>
      </c>
      <c r="R23" s="73" t="n">
        <f aca="false">ROUND(R20+R21+R22-R15,2)</f>
        <v>0</v>
      </c>
      <c r="S23" s="73" t="n">
        <f aca="false">ROUND(S20+S21+S22-S15,2)</f>
        <v>0</v>
      </c>
      <c r="T23" s="73" t="n">
        <f aca="false">ROUND(T20+T21+T22-T15,2)</f>
        <v>0</v>
      </c>
      <c r="U23" s="73" t="n">
        <f aca="false">ROUND(U20+U21+U22-U15,2)</f>
        <v>0</v>
      </c>
      <c r="V23" s="73" t="n">
        <f aca="false">ROUND(V20+V21+V22-V15,2)</f>
        <v>0</v>
      </c>
      <c r="W23" s="73" t="n">
        <f aca="false">ROUND(W20+W21+W22-W15,2)</f>
        <v>0</v>
      </c>
      <c r="X23" s="73" t="n">
        <f aca="false">ROUND(X20+X21+X22-X15,2)</f>
        <v>0</v>
      </c>
      <c r="Y23" s="73" t="n">
        <f aca="false">ROUND(Y20+Y21+Y22-Y15,2)</f>
        <v>0</v>
      </c>
      <c r="Z23" s="73" t="n">
        <f aca="false">ROUND(Z20+Z21+Z22-Z15,2)</f>
        <v>0</v>
      </c>
      <c r="AA23" s="73" t="n">
        <f aca="false">ROUND(AA20+AA21+AA22-AA15,2)</f>
        <v>0</v>
      </c>
      <c r="AB23" s="73" t="n">
        <f aca="false">ROUND(AB20+AB21+AB22-AB15,2)</f>
        <v>0</v>
      </c>
    </row>
    <row r="24" customFormat="false" ht="15" hidden="false" customHeight="false" outlineLevel="0" collapsed="false">
      <c r="A24" s="22" t="s">
        <v>781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false" outlineLevel="0" collapsed="false">
      <c r="A25" s="28" t="s">
        <v>782</v>
      </c>
      <c r="B25" s="62" t="s">
        <v>783</v>
      </c>
      <c r="C25" s="67" t="n">
        <f aca="false">SUM(E25:P25)</f>
        <v>284063.159258258</v>
      </c>
      <c r="D25" s="67" t="n">
        <f aca="false">SUM(Q25:AB25)</f>
        <v>419605.284253546</v>
      </c>
      <c r="E25" s="68" t="n">
        <f aca="false">Credits!E65+Team!E23+Enterprise!E217</f>
        <v>20391</v>
      </c>
      <c r="F25" s="68" t="n">
        <f aca="false">Credits!F65+Team!F23+Enterprise!F217</f>
        <v>20914</v>
      </c>
      <c r="G25" s="68" t="n">
        <f aca="false">Credits!G65+Team!G23+Enterprise!G217</f>
        <v>20965.8</v>
      </c>
      <c r="H25" s="68" t="n">
        <f aca="false">Credits!H65+Team!H23+Enterprise!H217</f>
        <v>22193.7</v>
      </c>
      <c r="I25" s="68" t="n">
        <f aca="false">Credits!I65+Team!I23+Enterprise!I217</f>
        <v>22582</v>
      </c>
      <c r="J25" s="68" t="n">
        <f aca="false">Credits!J65+Team!J23+Enterprise!J217</f>
        <v>23428.1</v>
      </c>
      <c r="K25" s="68" t="n">
        <f aca="false">Credits!K65+Team!K23+Enterprise!K217</f>
        <v>24582.2</v>
      </c>
      <c r="L25" s="68" t="n">
        <f aca="false">Credits!L65+Team!L23+Enterprise!L217</f>
        <v>24576.1</v>
      </c>
      <c r="M25" s="68" t="n">
        <f aca="false">Credits!M65+Team!M23+Enterprise!M217</f>
        <v>24996.9925146562</v>
      </c>
      <c r="N25" s="68" t="n">
        <f aca="false">Credits!N65+Team!N23+Enterprise!N217</f>
        <v>25427.202778888</v>
      </c>
      <c r="O25" s="68" t="n">
        <f aca="false">Credits!O65+Team!O23+Enterprise!O217</f>
        <v>26526.5648053701</v>
      </c>
      <c r="P25" s="68" t="n">
        <f aca="false">Credits!P65+Team!P23+Enterprise!P217</f>
        <v>27479.4991593433</v>
      </c>
      <c r="Q25" s="68" t="n">
        <f aca="false">Credits!Q65+Team!Q23+Enterprise!Q217</f>
        <v>31285.1806157636</v>
      </c>
      <c r="R25" s="68" t="n">
        <f aca="false">Credits!R65+Team!R23+Enterprise!R217</f>
        <v>32154.8836494135</v>
      </c>
      <c r="S25" s="68" t="n">
        <f aca="false">Credits!S65+Team!S23+Enterprise!S217</f>
        <v>33020.8709080457</v>
      </c>
      <c r="T25" s="68" t="n">
        <f aca="false">Credits!T65+Team!T23+Enterprise!T217</f>
        <v>33377.056348533</v>
      </c>
      <c r="U25" s="68" t="n">
        <f aca="false">Credits!U65+Team!U23+Enterprise!U217</f>
        <v>34442.1964017829</v>
      </c>
      <c r="V25" s="68" t="n">
        <f aca="false">Credits!V65+Team!V23+Enterprise!V217</f>
        <v>34748.7327665005</v>
      </c>
      <c r="W25" s="68" t="n">
        <f aca="false">Credits!W65+Team!W23+Enterprise!W217</f>
        <v>35194.4898065461</v>
      </c>
      <c r="X25" s="68" t="n">
        <f aca="false">Credits!X65+Team!X23+Enterprise!X217</f>
        <v>35598.5495264896</v>
      </c>
      <c r="Y25" s="68" t="n">
        <f aca="false">Credits!Y65+Team!Y23+Enterprise!Y217</f>
        <v>36458.1678793236</v>
      </c>
      <c r="Z25" s="68" t="n">
        <f aca="false">Credits!Z65+Team!Z23+Enterprise!Z217</f>
        <v>37114.6746798979</v>
      </c>
      <c r="AA25" s="68" t="n">
        <f aca="false">Credits!AA65+Team!AA23+Enterprise!AA217</f>
        <v>37766.3600899588</v>
      </c>
      <c r="AB25" s="68" t="n">
        <f aca="false">Credits!AB65+Team!AB23+Enterprise!AB217</f>
        <v>38444.1215812909</v>
      </c>
    </row>
    <row r="26" customFormat="false" ht="15" hidden="false" customHeight="false" outlineLevel="0" collapsed="false">
      <c r="A26" s="28" t="s">
        <v>784</v>
      </c>
      <c r="B26" s="62" t="s">
        <v>783</v>
      </c>
      <c r="C26" s="67" t="n">
        <f aca="false">SUM(E26:P26)</f>
        <v>258582.555284401</v>
      </c>
      <c r="D26" s="67" t="n">
        <f aca="false">SUM(Q26:AB26)</f>
        <v>385030.264924953</v>
      </c>
      <c r="E26" s="68" t="n">
        <f aca="false">Credits!E66+Team!E24+Enterprise!E218</f>
        <v>18638.5</v>
      </c>
      <c r="F26" s="68" t="n">
        <f aca="false">Credits!F66+Team!F24+Enterprise!F218</f>
        <v>19218.2</v>
      </c>
      <c r="G26" s="68" t="n">
        <f aca="false">Credits!G66+Team!G24+Enterprise!G218</f>
        <v>19002.4</v>
      </c>
      <c r="H26" s="68" t="n">
        <f aca="false">Credits!H66+Team!H24+Enterprise!H218</f>
        <v>19482.4</v>
      </c>
      <c r="I26" s="68" t="n">
        <f aca="false">Credits!I66+Team!I24+Enterprise!I218</f>
        <v>19846.2</v>
      </c>
      <c r="J26" s="68" t="n">
        <f aca="false">Credits!J66+Team!J24+Enterprise!J218</f>
        <v>20443.9</v>
      </c>
      <c r="K26" s="68" t="n">
        <f aca="false">Credits!K66+Team!K24+Enterprise!K218</f>
        <v>22801</v>
      </c>
      <c r="L26" s="68" t="n">
        <f aca="false">Credits!L66+Team!L24+Enterprise!L218</f>
        <v>22810.4</v>
      </c>
      <c r="M26" s="68" t="n">
        <f aca="false">Credits!M66+Team!M24+Enterprise!M218</f>
        <v>23070.8921988993</v>
      </c>
      <c r="N26" s="68" t="n">
        <f aca="false">Credits!N66+Team!N24+Enterprise!N218</f>
        <v>23583.7084136708</v>
      </c>
      <c r="O26" s="68" t="n">
        <f aca="false">Credits!O66+Team!O24+Enterprise!O218</f>
        <v>24543.8849466327</v>
      </c>
      <c r="P26" s="68" t="n">
        <f aca="false">Credits!P66+Team!P24+Enterprise!P218</f>
        <v>25141.0697251977</v>
      </c>
      <c r="Q26" s="68" t="n">
        <f aca="false">Credits!Q66+Team!Q24+Enterprise!Q218</f>
        <v>28597.352604241</v>
      </c>
      <c r="R26" s="68" t="n">
        <f aca="false">Credits!R66+Team!R24+Enterprise!R218</f>
        <v>29423.0063392286</v>
      </c>
      <c r="S26" s="68" t="n">
        <f aca="false">Credits!S66+Team!S24+Enterprise!S218</f>
        <v>30555.0305423752</v>
      </c>
      <c r="T26" s="68" t="n">
        <f aca="false">Credits!T66+Team!T24+Enterprise!T218</f>
        <v>30754.5820749717</v>
      </c>
      <c r="U26" s="68" t="n">
        <f aca="false">Credits!U66+Team!U24+Enterprise!U218</f>
        <v>31664.9477653915</v>
      </c>
      <c r="V26" s="68" t="n">
        <f aca="false">Credits!V66+Team!V24+Enterprise!V218</f>
        <v>32031.4761894248</v>
      </c>
      <c r="W26" s="68" t="n">
        <f aca="false">Credits!W66+Team!W24+Enterprise!W218</f>
        <v>32294.0494377702</v>
      </c>
      <c r="X26" s="68" t="n">
        <f aca="false">Credits!X66+Team!X24+Enterprise!X218</f>
        <v>32645.4023082594</v>
      </c>
      <c r="Y26" s="68" t="n">
        <f aca="false">Credits!Y66+Team!Y24+Enterprise!Y218</f>
        <v>33248.0324205514</v>
      </c>
      <c r="Z26" s="68" t="n">
        <f aca="false">Credits!Z66+Team!Z24+Enterprise!Z218</f>
        <v>33977.607345138</v>
      </c>
      <c r="AA26" s="68" t="n">
        <f aca="false">Credits!AA66+Team!AA24+Enterprise!AA218</f>
        <v>34589.513714375</v>
      </c>
      <c r="AB26" s="68" t="n">
        <f aca="false">Credits!AB66+Team!AB24+Enterprise!AB218</f>
        <v>35249.2641832265</v>
      </c>
    </row>
    <row r="27" customFormat="false" ht="15" hidden="false" customHeight="false" outlineLevel="0" collapsed="false">
      <c r="A27" s="28" t="s">
        <v>785</v>
      </c>
      <c r="B27" s="62" t="s">
        <v>783</v>
      </c>
      <c r="C27" s="67" t="n">
        <f aca="false">SUM(E27:P27)</f>
        <v>102867.030058248</v>
      </c>
      <c r="D27" s="67" t="n">
        <f aca="false">SUM(Q27:AB27)</f>
        <v>149373.934821881</v>
      </c>
      <c r="E27" s="68" t="n">
        <f aca="false">Credits!E67+Team!E25+Enterprise!E219</f>
        <v>7665.8</v>
      </c>
      <c r="F27" s="68" t="n">
        <f aca="false">Credits!F67+Team!F25+Enterprise!F219</f>
        <v>7877.6</v>
      </c>
      <c r="G27" s="68" t="n">
        <f aca="false">Credits!G67+Team!G25+Enterprise!G219</f>
        <v>7509.5</v>
      </c>
      <c r="H27" s="68" t="n">
        <f aca="false">Credits!H67+Team!H25+Enterprise!H219</f>
        <v>7874.2</v>
      </c>
      <c r="I27" s="68" t="n">
        <f aca="false">Credits!I67+Team!I25+Enterprise!I219</f>
        <v>8049.8</v>
      </c>
      <c r="J27" s="68" t="n">
        <f aca="false">Credits!J67+Team!J25+Enterprise!J219</f>
        <v>8365.4</v>
      </c>
      <c r="K27" s="68" t="n">
        <f aca="false">Credits!K67+Team!K25+Enterprise!K219</f>
        <v>8901.9</v>
      </c>
      <c r="L27" s="68" t="n">
        <f aca="false">Credits!L67+Team!L25+Enterprise!L219</f>
        <v>8967.2</v>
      </c>
      <c r="M27" s="68" t="n">
        <f aca="false">Credits!M67+Team!M25+Enterprise!M219</f>
        <v>9057.72836875341</v>
      </c>
      <c r="N27" s="68" t="n">
        <f aca="false">Credits!N67+Team!N25+Enterprise!N219</f>
        <v>9220.68374253818</v>
      </c>
      <c r="O27" s="68" t="n">
        <f aca="false">Credits!O67+Team!O25+Enterprise!O219</f>
        <v>9533.59474595456</v>
      </c>
      <c r="P27" s="68" t="n">
        <f aca="false">Credits!P67+Team!P25+Enterprise!P219</f>
        <v>9843.62320100189</v>
      </c>
      <c r="Q27" s="68" t="n">
        <f aca="false">Credits!Q67+Team!Q25+Enterprise!Q219</f>
        <v>11189.1669345237</v>
      </c>
      <c r="R27" s="68" t="n">
        <f aca="false">Credits!R67+Team!R25+Enterprise!R219</f>
        <v>11479.1701687184</v>
      </c>
      <c r="S27" s="68" t="n">
        <f aca="false">Credits!S67+Team!S25+Enterprise!S219</f>
        <v>11799.2307196037</v>
      </c>
      <c r="T27" s="68" t="n">
        <f aca="false">Credits!T67+Team!T25+Enterprise!T219</f>
        <v>11917.6318830545</v>
      </c>
      <c r="U27" s="68" t="n">
        <f aca="false">Credits!U67+Team!U25+Enterprise!U219</f>
        <v>12299.7873522044</v>
      </c>
      <c r="V27" s="68" t="n">
        <f aca="false">Credits!V67+Team!V25+Enterprise!V219</f>
        <v>12439.0069750038</v>
      </c>
      <c r="W27" s="68" t="n">
        <f aca="false">Credits!W67+Team!W25+Enterprise!W219</f>
        <v>12572.9296814764</v>
      </c>
      <c r="X27" s="68" t="n">
        <f aca="false">Credits!X67+Team!X25+Enterprise!X219</f>
        <v>12678.6959713744</v>
      </c>
      <c r="Y27" s="68" t="n">
        <f aca="false">Credits!Y67+Team!Y25+Enterprise!Y219</f>
        <v>12920.3442888713</v>
      </c>
      <c r="Z27" s="68" t="n">
        <f aca="false">Credits!Z67+Team!Z25+Enterprise!Z219</f>
        <v>13144.7685012457</v>
      </c>
      <c r="AA27" s="68" t="n">
        <f aca="false">Credits!AA67+Team!AA25+Enterprise!AA219</f>
        <v>13355.1483877175</v>
      </c>
      <c r="AB27" s="68" t="n">
        <f aca="false">Credits!AB67+Team!AB25+Enterprise!AB219</f>
        <v>13578.0539580876</v>
      </c>
    </row>
    <row r="28" customFormat="false" ht="15" hidden="false" customHeight="false" outlineLevel="0" collapsed="false">
      <c r="A28" s="22" t="s">
        <v>786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787</v>
      </c>
      <c r="B29" s="62" t="s">
        <v>788</v>
      </c>
      <c r="C29" s="71" t="n">
        <f aca="false">IF(C25=0,0,C20/C25)</f>
        <v>10.1335268690123</v>
      </c>
      <c r="D29" s="71" t="n">
        <f aca="false">IF(D25=0,0,D20/D25)</f>
        <v>9.05413248672971</v>
      </c>
      <c r="E29" s="113" t="n">
        <f aca="false">IF(E25=0,0,E20/E25)</f>
        <v>10.7002027587929</v>
      </c>
      <c r="F29" s="113" t="n">
        <f aca="false">IF(F25=0,0,F20/F25)</f>
        <v>9.7741352117329</v>
      </c>
      <c r="G29" s="113" t="n">
        <f aca="false">IF(G25=0,0,G20/G25)</f>
        <v>10.3650749228831</v>
      </c>
      <c r="H29" s="113" t="n">
        <f aca="false">IF(H25=0,0,H20/H25)</f>
        <v>9.70248073265673</v>
      </c>
      <c r="I29" s="113" t="n">
        <f aca="false">IF(I25=0,0,I20/I25)</f>
        <v>10.142915067109</v>
      </c>
      <c r="J29" s="113" t="n">
        <f aca="false">IF(J25=0,0,J20/J25)</f>
        <v>10.8087443477937</v>
      </c>
      <c r="K29" s="113" t="n">
        <f aca="false">IF(K25=0,0,K20/K25)</f>
        <v>9.81936592146128</v>
      </c>
      <c r="L29" s="113" t="n">
        <f aca="false">IF(L25=0,0,L20/L25)</f>
        <v>9.66871567757441</v>
      </c>
      <c r="M29" s="113" t="n">
        <f aca="false">IF(M25=0,0,M20/M25)</f>
        <v>12.1364026177709</v>
      </c>
      <c r="N29" s="113" t="n">
        <f aca="false">IF(N25=0,0,N20/N25)</f>
        <v>9.59491960207463</v>
      </c>
      <c r="O29" s="113" t="n">
        <f aca="false">IF(O25=0,0,O20/O25)</f>
        <v>9.58898444600319</v>
      </c>
      <c r="P29" s="113" t="n">
        <f aca="false">IF(P25=0,0,P20/P25)</f>
        <v>9.47348354859519</v>
      </c>
      <c r="Q29" s="113" t="n">
        <f aca="false">IF(Q25=0,0,Q20/Q25)</f>
        <v>9.02056534709219</v>
      </c>
      <c r="R29" s="113" t="n">
        <f aca="false">IF(R25=0,0,R20/R25)</f>
        <v>8.59162378165449</v>
      </c>
      <c r="S29" s="113" t="n">
        <f aca="false">IF(S25=0,0,S20/S25)</f>
        <v>10.2216202017931</v>
      </c>
      <c r="T29" s="113" t="n">
        <f aca="false">IF(T25=0,0,T20/T25)</f>
        <v>8.60649278881882</v>
      </c>
      <c r="U29" s="113" t="n">
        <f aca="false">IF(U25=0,0,U20/U25)</f>
        <v>8.63772305925424</v>
      </c>
      <c r="V29" s="113" t="n">
        <f aca="false">IF(V25=0,0,V20/V25)</f>
        <v>9.5258197153634</v>
      </c>
      <c r="W29" s="113" t="n">
        <f aca="false">IF(W25=0,0,W20/W25)</f>
        <v>8.60005121966406</v>
      </c>
      <c r="X29" s="113" t="n">
        <f aca="false">IF(X25=0,0,X20/X25)</f>
        <v>8.62230751350489</v>
      </c>
      <c r="Y29" s="113" t="n">
        <f aca="false">IF(Y25=0,0,Y20/Y25)</f>
        <v>9.45376889345348</v>
      </c>
      <c r="Z29" s="113" t="n">
        <f aca="false">IF(Z25=0,0,Z20/Z25)</f>
        <v>9.50057983106426</v>
      </c>
      <c r="AA29" s="113" t="n">
        <f aca="false">IF(AA25=0,0,AA20/AA25)</f>
        <v>9.25437869749223</v>
      </c>
      <c r="AB29" s="113" t="n">
        <f aca="false">IF(AB25=0,0,AB20/AB25)</f>
        <v>8.60970030868769</v>
      </c>
    </row>
    <row r="30" customFormat="false" ht="15" hidden="false" customHeight="false" outlineLevel="0" collapsed="false">
      <c r="A30" s="28" t="s">
        <v>789</v>
      </c>
      <c r="B30" s="62" t="s">
        <v>788</v>
      </c>
      <c r="C30" s="71" t="n">
        <f aca="false">IF(C26=0,0,C21/C26)</f>
        <v>7.46470626066375</v>
      </c>
      <c r="D30" s="71" t="n">
        <f aca="false">IF(D26=0,0,D21/D26)</f>
        <v>6.63513761662794</v>
      </c>
      <c r="E30" s="113" t="n">
        <f aca="false">IF(E26=0,0,E21/E26)</f>
        <v>7.72379350659802</v>
      </c>
      <c r="F30" s="113" t="n">
        <f aca="false">IF(F26=0,0,F21/F26)</f>
        <v>7.16779290416944</v>
      </c>
      <c r="G30" s="113" t="n">
        <f aca="false">IF(G26=0,0,G21/G26)</f>
        <v>8.35708676750879</v>
      </c>
      <c r="H30" s="113" t="n">
        <f aca="false">IF(H26=0,0,H21/H26)</f>
        <v>7.18272274883065</v>
      </c>
      <c r="I30" s="113" t="n">
        <f aca="false">IF(I26=0,0,I21/I26)</f>
        <v>7.42847359833483</v>
      </c>
      <c r="J30" s="113" t="n">
        <f aca="false">IF(J26=0,0,J21/J26)</f>
        <v>8.08294671137734</v>
      </c>
      <c r="K30" s="113" t="n">
        <f aca="false">IF(K26=0,0,K21/K26)</f>
        <v>7.36794569416812</v>
      </c>
      <c r="L30" s="113" t="n">
        <f aca="false">IF(L26=0,0,L21/L26)</f>
        <v>7.78451004007741</v>
      </c>
      <c r="M30" s="113" t="n">
        <f aca="false">IF(M26=0,0,M21/M26)</f>
        <v>7.73160443151248</v>
      </c>
      <c r="N30" s="113" t="n">
        <f aca="false">IF(N26=0,0,N21/N26)</f>
        <v>7.0265819853721</v>
      </c>
      <c r="O30" s="113" t="n">
        <f aca="false">IF(O26=0,0,O21/O26)</f>
        <v>7.02498991458194</v>
      </c>
      <c r="P30" s="113" t="n">
        <f aca="false">IF(P26=0,0,P21/P26)</f>
        <v>6.96242336739981</v>
      </c>
      <c r="Q30" s="113" t="n">
        <f aca="false">IF(Q26=0,0,Q21/Q26)</f>
        <v>6.56977241526057</v>
      </c>
      <c r="R30" s="113" t="n">
        <f aca="false">IF(R26=0,0,R21/R26)</f>
        <v>6.30764743664938</v>
      </c>
      <c r="S30" s="113" t="n">
        <f aca="false">IF(S26=0,0,S21/S26)</f>
        <v>7.03671286966265</v>
      </c>
      <c r="T30" s="113" t="n">
        <f aca="false">IF(T26=0,0,T21/T26)</f>
        <v>6.30929990905821</v>
      </c>
      <c r="U30" s="113" t="n">
        <f aca="false">IF(U26=0,0,U21/U26)</f>
        <v>6.33160061312573</v>
      </c>
      <c r="V30" s="113" t="n">
        <f aca="false">IF(V26=0,0,V21/V26)</f>
        <v>8.07957878028354</v>
      </c>
      <c r="W30" s="113" t="n">
        <f aca="false">IF(W26=0,0,W21/W26)</f>
        <v>6.30936493919799</v>
      </c>
      <c r="X30" s="113" t="n">
        <f aca="false">IF(X26=0,0,X21/X26)</f>
        <v>6.48880054124473</v>
      </c>
      <c r="Y30" s="113" t="n">
        <f aca="false">IF(Y26=0,0,Y21/Y26)</f>
        <v>6.54753400710945</v>
      </c>
      <c r="Z30" s="113" t="n">
        <f aca="false">IF(Z26=0,0,Z21/Z26)</f>
        <v>6.90053086638747</v>
      </c>
      <c r="AA30" s="113" t="n">
        <f aca="false">IF(AA26=0,0,AA21/AA26)</f>
        <v>6.43564770428842</v>
      </c>
      <c r="AB30" s="113" t="n">
        <f aca="false">IF(AB26=0,0,AB21/AB26)</f>
        <v>6.31436516463292</v>
      </c>
    </row>
    <row r="31" customFormat="false" ht="15" hidden="false" customHeight="false" outlineLevel="0" collapsed="false">
      <c r="A31" s="28" t="s">
        <v>790</v>
      </c>
      <c r="B31" s="62" t="s">
        <v>788</v>
      </c>
      <c r="C31" s="71" t="n">
        <f aca="false">IF(C27=0,0,C22/C27)</f>
        <v>17.5607642964109</v>
      </c>
      <c r="D31" s="71" t="n">
        <f aca="false">IF(D27=0,0,D22/D27)</f>
        <v>15.5983128754593</v>
      </c>
      <c r="E31" s="113" t="n">
        <f aca="false">IF(E27=0,0,E22/E27)</f>
        <v>17.5209249108793</v>
      </c>
      <c r="F31" s="113" t="n">
        <f aca="false">IF(F27=0,0,F22/F27)</f>
        <v>16.8476270980086</v>
      </c>
      <c r="G31" s="113" t="n">
        <f aca="false">IF(G27=0,0,G22/G27)</f>
        <v>18.2519635431484</v>
      </c>
      <c r="H31" s="113" t="n">
        <f aca="false">IF(H27=0,0,H22/H27)</f>
        <v>16.9794243166983</v>
      </c>
      <c r="I31" s="113" t="n">
        <f aca="false">IF(I27=0,0,I22/I27)</f>
        <v>18.2743333148876</v>
      </c>
      <c r="J31" s="113" t="n">
        <f aca="false">IF(J27=0,0,J22/J27)</f>
        <v>17.9012346309583</v>
      </c>
      <c r="K31" s="113" t="n">
        <f aca="false">IF(K27=0,0,K22/K27)</f>
        <v>17.6960063786178</v>
      </c>
      <c r="L31" s="113" t="n">
        <f aca="false">IF(L27=0,0,L22/L27)</f>
        <v>17.7264900465535</v>
      </c>
      <c r="M31" s="113" t="n">
        <f aca="false">IF(M27=0,0,M22/M27)</f>
        <v>19.8759585727626</v>
      </c>
      <c r="N31" s="113" t="n">
        <f aca="false">IF(N27=0,0,N22/N27)</f>
        <v>16.682252400763</v>
      </c>
      <c r="O31" s="113" t="n">
        <f aca="false">IF(O27=0,0,O22/O27)</f>
        <v>16.6662183461339</v>
      </c>
      <c r="P31" s="113" t="n">
        <f aca="false">IF(P27=0,0,P22/P27)</f>
        <v>16.5130087373756</v>
      </c>
      <c r="Q31" s="113" t="n">
        <f aca="false">IF(Q27=0,0,Q22/Q27)</f>
        <v>15.2814380627268</v>
      </c>
      <c r="R31" s="113" t="n">
        <f aca="false">IF(R27=0,0,R22/R27)</f>
        <v>14.9194344810932</v>
      </c>
      <c r="S31" s="113" t="n">
        <f aca="false">IF(S27=0,0,S22/S27)</f>
        <v>17.3780973585071</v>
      </c>
      <c r="T31" s="113" t="n">
        <f aca="false">IF(T27=0,0,T22/T27)</f>
        <v>14.9242205331674</v>
      </c>
      <c r="U31" s="113" t="n">
        <f aca="false">IF(U27=0,0,U22/U27)</f>
        <v>14.930516345231</v>
      </c>
      <c r="V31" s="113" t="n">
        <f aca="false">IF(V27=0,0,V22/V27)</f>
        <v>17.2204075710232</v>
      </c>
      <c r="W31" s="113" t="n">
        <f aca="false">IF(W27=0,0,W22/W27)</f>
        <v>14.8830824784368</v>
      </c>
      <c r="X31" s="113" t="n">
        <f aca="false">IF(X27=0,0,X22/X27)</f>
        <v>15.1259833538809</v>
      </c>
      <c r="Y31" s="113" t="n">
        <f aca="false">IF(Y27=0,0,Y22/Y27)</f>
        <v>15.9483281880445</v>
      </c>
      <c r="Z31" s="113" t="n">
        <f aca="false">IF(Z27=0,0,Z22/Z27)</f>
        <v>15.8969712493958</v>
      </c>
      <c r="AA31" s="113" t="n">
        <f aca="false">IF(AA27=0,0,AA22/AA27)</f>
        <v>15.7988810073259</v>
      </c>
      <c r="AB31" s="113" t="n">
        <f aca="false">IF(AB27=0,0,AB22/AB27)</f>
        <v>14.8811897651664</v>
      </c>
    </row>
    <row r="32" customFormat="false" ht="15" hidden="false" customHeight="false" outlineLevel="0" collapsed="false">
      <c r="A32" s="28" t="s">
        <v>791</v>
      </c>
      <c r="B32" s="62" t="s">
        <v>86</v>
      </c>
      <c r="C32" s="71" t="n">
        <f aca="false">AVERAGE(E32:P32)</f>
        <v>11.04</v>
      </c>
      <c r="D32" s="71" t="n">
        <f aca="false">AVERAGE(Q32:AB32)</f>
        <v>9.936</v>
      </c>
      <c r="E32" s="72" t="n">
        <f aca="false">(Assumptions!$C$116*Assumptions!E$215)</f>
        <v>11.04</v>
      </c>
      <c r="F32" s="72" t="n">
        <f aca="false">(Assumptions!$C$116*Assumptions!F$215)</f>
        <v>11.04</v>
      </c>
      <c r="G32" s="72" t="n">
        <f aca="false">(Assumptions!$C$116*Assumptions!G$215)</f>
        <v>11.04</v>
      </c>
      <c r="H32" s="72" t="n">
        <f aca="false">(Assumptions!$C$116*Assumptions!H$215)</f>
        <v>11.04</v>
      </c>
      <c r="I32" s="72" t="n">
        <f aca="false">(Assumptions!$C$116*Assumptions!I$215)</f>
        <v>11.04</v>
      </c>
      <c r="J32" s="72" t="n">
        <f aca="false">(Assumptions!$C$116*Assumptions!J$215)</f>
        <v>11.04</v>
      </c>
      <c r="K32" s="72" t="n">
        <f aca="false">(Assumptions!$C$116*Assumptions!K$215)</f>
        <v>11.04</v>
      </c>
      <c r="L32" s="72" t="n">
        <f aca="false">(Assumptions!$C$116*Assumptions!L$215)</f>
        <v>11.04</v>
      </c>
      <c r="M32" s="72" t="n">
        <f aca="false">(Assumptions!$C$116*Assumptions!M$215)</f>
        <v>11.04</v>
      </c>
      <c r="N32" s="72" t="n">
        <f aca="false">(Assumptions!$C$116*Assumptions!N$215)</f>
        <v>11.04</v>
      </c>
      <c r="O32" s="72" t="n">
        <f aca="false">(Assumptions!$C$116*Assumptions!O$215)</f>
        <v>11.04</v>
      </c>
      <c r="P32" s="72" t="n">
        <f aca="false">(Assumptions!$C$116*Assumptions!P$215)</f>
        <v>11.04</v>
      </c>
      <c r="Q32" s="72" t="n">
        <f aca="false">(Assumptions!$C$116*Assumptions!Q$215)</f>
        <v>9.936</v>
      </c>
      <c r="R32" s="72" t="n">
        <f aca="false">(Assumptions!$C$116*Assumptions!R$215)</f>
        <v>9.936</v>
      </c>
      <c r="S32" s="72" t="n">
        <f aca="false">(Assumptions!$C$116*Assumptions!S$215)</f>
        <v>9.936</v>
      </c>
      <c r="T32" s="72" t="n">
        <f aca="false">(Assumptions!$C$116*Assumptions!T$215)</f>
        <v>9.936</v>
      </c>
      <c r="U32" s="72" t="n">
        <f aca="false">(Assumptions!$C$116*Assumptions!U$215)</f>
        <v>9.936</v>
      </c>
      <c r="V32" s="72" t="n">
        <f aca="false">(Assumptions!$C$116*Assumptions!V$215)</f>
        <v>9.936</v>
      </c>
      <c r="W32" s="72" t="n">
        <f aca="false">(Assumptions!$C$116*Assumptions!W$215)</f>
        <v>9.936</v>
      </c>
      <c r="X32" s="72" t="n">
        <f aca="false">(Assumptions!$C$116*Assumptions!X$215)</f>
        <v>9.936</v>
      </c>
      <c r="Y32" s="72" t="n">
        <f aca="false">(Assumptions!$C$116*Assumptions!Y$215)</f>
        <v>9.936</v>
      </c>
      <c r="Z32" s="72" t="n">
        <f aca="false">(Assumptions!$C$116*Assumptions!Z$215)</f>
        <v>9.936</v>
      </c>
      <c r="AA32" s="72" t="n">
        <f aca="false">(Assumptions!$C$116*Assumptions!AA$215)</f>
        <v>9.936</v>
      </c>
      <c r="AB32" s="72" t="n">
        <f aca="false">(Assumptions!$C$116*Assumptions!AB$215)</f>
        <v>9.936</v>
      </c>
    </row>
    <row r="33" customFormat="false" ht="15" hidden="false" customHeight="false" outlineLevel="0" collapsed="false">
      <c r="A33" s="28" t="s">
        <v>792</v>
      </c>
      <c r="B33" s="62" t="s">
        <v>86</v>
      </c>
      <c r="C33" s="71" t="n">
        <f aca="false">AVERAGE(E33:P33)</f>
        <v>8.28</v>
      </c>
      <c r="D33" s="71" t="n">
        <f aca="false">AVERAGE(Q33:AB33)</f>
        <v>7.452</v>
      </c>
      <c r="E33" s="72" t="n">
        <f aca="false">(Assumptions!$C$117*Assumptions!E$215)</f>
        <v>8.28</v>
      </c>
      <c r="F33" s="72" t="n">
        <f aca="false">(Assumptions!$C$117*Assumptions!F$215)</f>
        <v>8.28</v>
      </c>
      <c r="G33" s="72" t="n">
        <f aca="false">(Assumptions!$C$117*Assumptions!G$215)</f>
        <v>8.28</v>
      </c>
      <c r="H33" s="72" t="n">
        <f aca="false">(Assumptions!$C$117*Assumptions!H$215)</f>
        <v>8.28</v>
      </c>
      <c r="I33" s="72" t="n">
        <f aca="false">(Assumptions!$C$117*Assumptions!I$215)</f>
        <v>8.28</v>
      </c>
      <c r="J33" s="72" t="n">
        <f aca="false">(Assumptions!$C$117*Assumptions!J$215)</f>
        <v>8.28</v>
      </c>
      <c r="K33" s="72" t="n">
        <f aca="false">(Assumptions!$C$117*Assumptions!K$215)</f>
        <v>8.28</v>
      </c>
      <c r="L33" s="72" t="n">
        <f aca="false">(Assumptions!$C$117*Assumptions!L$215)</f>
        <v>8.28</v>
      </c>
      <c r="M33" s="72" t="n">
        <f aca="false">(Assumptions!$C$117*Assumptions!M$215)</f>
        <v>8.28</v>
      </c>
      <c r="N33" s="72" t="n">
        <f aca="false">(Assumptions!$C$117*Assumptions!N$215)</f>
        <v>8.28</v>
      </c>
      <c r="O33" s="72" t="n">
        <f aca="false">(Assumptions!$C$117*Assumptions!O$215)</f>
        <v>8.28</v>
      </c>
      <c r="P33" s="72" t="n">
        <f aca="false">(Assumptions!$C$117*Assumptions!P$215)</f>
        <v>8.28</v>
      </c>
      <c r="Q33" s="72" t="n">
        <f aca="false">(Assumptions!$C$117*Assumptions!Q$215)</f>
        <v>7.452</v>
      </c>
      <c r="R33" s="72" t="n">
        <f aca="false">(Assumptions!$C$117*Assumptions!R$215)</f>
        <v>7.452</v>
      </c>
      <c r="S33" s="72" t="n">
        <f aca="false">(Assumptions!$C$117*Assumptions!S$215)</f>
        <v>7.452</v>
      </c>
      <c r="T33" s="72" t="n">
        <f aca="false">(Assumptions!$C$117*Assumptions!T$215)</f>
        <v>7.452</v>
      </c>
      <c r="U33" s="72" t="n">
        <f aca="false">(Assumptions!$C$117*Assumptions!U$215)</f>
        <v>7.452</v>
      </c>
      <c r="V33" s="72" t="n">
        <f aca="false">(Assumptions!$C$117*Assumptions!V$215)</f>
        <v>7.452</v>
      </c>
      <c r="W33" s="72" t="n">
        <f aca="false">(Assumptions!$C$117*Assumptions!W$215)</f>
        <v>7.452</v>
      </c>
      <c r="X33" s="72" t="n">
        <f aca="false">(Assumptions!$C$117*Assumptions!X$215)</f>
        <v>7.452</v>
      </c>
      <c r="Y33" s="72" t="n">
        <f aca="false">(Assumptions!$C$117*Assumptions!Y$215)</f>
        <v>7.452</v>
      </c>
      <c r="Z33" s="72" t="n">
        <f aca="false">(Assumptions!$C$117*Assumptions!Z$215)</f>
        <v>7.452</v>
      </c>
      <c r="AA33" s="72" t="n">
        <f aca="false">(Assumptions!$C$117*Assumptions!AA$215)</f>
        <v>7.452</v>
      </c>
      <c r="AB33" s="72" t="n">
        <f aca="false">(Assumptions!$C$117*Assumptions!AB$215)</f>
        <v>7.452</v>
      </c>
    </row>
    <row r="34" customFormat="false" ht="15" hidden="false" customHeight="false" outlineLevel="0" collapsed="false">
      <c r="A34" s="28" t="s">
        <v>793</v>
      </c>
      <c r="B34" s="62" t="s">
        <v>86</v>
      </c>
      <c r="C34" s="71" t="n">
        <f aca="false">AVERAGE(E34:P34)</f>
        <v>18.4</v>
      </c>
      <c r="D34" s="71" t="n">
        <f aca="false">AVERAGE(Q34:AB34)</f>
        <v>16.56</v>
      </c>
      <c r="E34" s="72" t="n">
        <f aca="false">(Assumptions!$C$118*Assumptions!E$215)</f>
        <v>18.4</v>
      </c>
      <c r="F34" s="72" t="n">
        <f aca="false">(Assumptions!$C$118*Assumptions!F$215)</f>
        <v>18.4</v>
      </c>
      <c r="G34" s="72" t="n">
        <f aca="false">(Assumptions!$C$118*Assumptions!G$215)</f>
        <v>18.4</v>
      </c>
      <c r="H34" s="72" t="n">
        <f aca="false">(Assumptions!$C$118*Assumptions!H$215)</f>
        <v>18.4</v>
      </c>
      <c r="I34" s="72" t="n">
        <f aca="false">(Assumptions!$C$118*Assumptions!I$215)</f>
        <v>18.4</v>
      </c>
      <c r="J34" s="72" t="n">
        <f aca="false">(Assumptions!$C$118*Assumptions!J$215)</f>
        <v>18.4</v>
      </c>
      <c r="K34" s="72" t="n">
        <f aca="false">(Assumptions!$C$118*Assumptions!K$215)</f>
        <v>18.4</v>
      </c>
      <c r="L34" s="72" t="n">
        <f aca="false">(Assumptions!$C$118*Assumptions!L$215)</f>
        <v>18.4</v>
      </c>
      <c r="M34" s="72" t="n">
        <f aca="false">(Assumptions!$C$118*Assumptions!M$215)</f>
        <v>18.4</v>
      </c>
      <c r="N34" s="72" t="n">
        <f aca="false">(Assumptions!$C$118*Assumptions!N$215)</f>
        <v>18.4</v>
      </c>
      <c r="O34" s="72" t="n">
        <f aca="false">(Assumptions!$C$118*Assumptions!O$215)</f>
        <v>18.4</v>
      </c>
      <c r="P34" s="72" t="n">
        <f aca="false">(Assumptions!$C$118*Assumptions!P$215)</f>
        <v>18.4</v>
      </c>
      <c r="Q34" s="72" t="n">
        <f aca="false">(Assumptions!$C$118*Assumptions!Q$215)</f>
        <v>16.56</v>
      </c>
      <c r="R34" s="72" t="n">
        <f aca="false">(Assumptions!$C$118*Assumptions!R$215)</f>
        <v>16.56</v>
      </c>
      <c r="S34" s="72" t="n">
        <f aca="false">(Assumptions!$C$118*Assumptions!S$215)</f>
        <v>16.56</v>
      </c>
      <c r="T34" s="72" t="n">
        <f aca="false">(Assumptions!$C$118*Assumptions!T$215)</f>
        <v>16.56</v>
      </c>
      <c r="U34" s="72" t="n">
        <f aca="false">(Assumptions!$C$118*Assumptions!U$215)</f>
        <v>16.56</v>
      </c>
      <c r="V34" s="72" t="n">
        <f aca="false">(Assumptions!$C$118*Assumptions!V$215)</f>
        <v>16.56</v>
      </c>
      <c r="W34" s="72" t="n">
        <f aca="false">(Assumptions!$C$118*Assumptions!W$215)</f>
        <v>16.56</v>
      </c>
      <c r="X34" s="72" t="n">
        <f aca="false">(Assumptions!$C$118*Assumptions!X$215)</f>
        <v>16.56</v>
      </c>
      <c r="Y34" s="72" t="n">
        <f aca="false">(Assumptions!$C$118*Assumptions!Y$215)</f>
        <v>16.56</v>
      </c>
      <c r="Z34" s="72" t="n">
        <f aca="false">(Assumptions!$C$118*Assumptions!Z$215)</f>
        <v>16.56</v>
      </c>
      <c r="AA34" s="72" t="n">
        <f aca="false">(Assumptions!$C$118*Assumptions!AA$215)</f>
        <v>16.56</v>
      </c>
      <c r="AB34" s="72" t="n">
        <f aca="false">(Assumptions!$C$118*Assumptions!AB$215)</f>
        <v>16.56</v>
      </c>
    </row>
    <row r="35" customFormat="false" ht="15" hidden="false" customHeight="false" outlineLevel="0" collapsed="false">
      <c r="A35" s="22" t="s">
        <v>794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customFormat="false" ht="15" hidden="false" customHeight="false" outlineLevel="0" collapsed="false">
      <c r="A36" s="28" t="s">
        <v>795</v>
      </c>
      <c r="B36" s="62"/>
      <c r="C36" s="66" t="n">
        <f aca="false">IF(C15=0,0,(C9+C11+Enterprise!C200)/C15)</f>
        <v>0.239496274827291</v>
      </c>
      <c r="D36" s="66" t="n">
        <f aca="false">IF(D15=0,0,(D9+D11+Enterprise!D200)/D15)</f>
        <v>0.278457804799371</v>
      </c>
      <c r="E36" s="63" t="n">
        <f aca="false">IF(E15=0,0,(E9+E11+Enterprise!E200)/E15)</f>
        <v>0.230432225948521</v>
      </c>
      <c r="F36" s="63" t="n">
        <f aca="false">IF(F15=0,0,(F9+F11+Enterprise!F200)/F15)</f>
        <v>0.258508834105841</v>
      </c>
      <c r="G36" s="63" t="n">
        <f aca="false">IF(G15=0,0,(G9+G11+Enterprise!G200)/G15)</f>
        <v>0.223711315633669</v>
      </c>
      <c r="H36" s="63" t="n">
        <f aca="false">IF(H15=0,0,(H9+H11+Enterprise!H200)/H15)</f>
        <v>0.239544032416281</v>
      </c>
      <c r="I36" s="63" t="n">
        <f aca="false">IF(I15=0,0,(I9+I11+Enterprise!I200)/I15)</f>
        <v>0.256539713698849</v>
      </c>
      <c r="J36" s="63" t="n">
        <f aca="false">IF(J15=0,0,(J9+J11+Enterprise!J200)/J15)</f>
        <v>0.22264587022173</v>
      </c>
      <c r="K36" s="63" t="n">
        <f aca="false">IF(K15=0,0,(K9+K11+Enterprise!K200)/K15)</f>
        <v>0.228389687732683</v>
      </c>
      <c r="L36" s="63" t="n">
        <f aca="false">IF(L15=0,0,(L9+L11+Enterprise!L200)/L15)</f>
        <v>0.224474438315771</v>
      </c>
      <c r="M36" s="63" t="n">
        <f aca="false">IF(M15=0,0,(M9+M11+Enterprise!M200)/M15)</f>
        <v>0.196554643005335</v>
      </c>
      <c r="N36" s="63" t="n">
        <f aca="false">IF(N15=0,0,(N9+N11+Enterprise!N200)/N15)</f>
        <v>0.252218776293577</v>
      </c>
      <c r="O36" s="63" t="n">
        <f aca="false">IF(O15=0,0,(O9+O11+Enterprise!O200)/O15)</f>
        <v>0.250633078474063</v>
      </c>
      <c r="P36" s="63" t="n">
        <f aca="false">IF(P15=0,0,(P9+P11+Enterprise!P200)/P15)</f>
        <v>0.296104111390761</v>
      </c>
      <c r="Q36" s="63" t="n">
        <f aca="false">IF(Q15=0,0,(Q9+Q11+Enterprise!Q200)/Q15)</f>
        <v>0.315421099229193</v>
      </c>
      <c r="R36" s="63" t="n">
        <f aca="false">IF(R15=0,0,(R9+R11+Enterprise!R200)/R15)</f>
        <v>0.276052532849719</v>
      </c>
      <c r="S36" s="63" t="n">
        <f aca="false">IF(S15=0,0,(S9+S11+Enterprise!S200)/S15)</f>
        <v>0.298251216590495</v>
      </c>
      <c r="T36" s="63" t="n">
        <f aca="false">IF(T15=0,0,(T9+T11+Enterprise!T200)/T15)</f>
        <v>0.331497305779122</v>
      </c>
      <c r="U36" s="63" t="n">
        <f aca="false">IF(U15=0,0,(U9+U11+Enterprise!U200)/U15)</f>
        <v>0.342770908715128</v>
      </c>
      <c r="V36" s="63" t="n">
        <f aca="false">IF(V15=0,0,(V9+V11+Enterprise!V200)/V15)</f>
        <v>0.207971318970246</v>
      </c>
      <c r="W36" s="63" t="n">
        <f aca="false">IF(W15=0,0,(W9+W11+Enterprise!W200)/W15)</f>
        <v>0.255370430913152</v>
      </c>
      <c r="X36" s="63" t="n">
        <f aca="false">IF(X15=0,0,(X9+X11+Enterprise!X200)/X15)</f>
        <v>0.241742161189932</v>
      </c>
      <c r="Y36" s="63" t="n">
        <f aca="false">IF(Y15=0,0,(Y9+Y11+Enterprise!Y200)/Y15)</f>
        <v>0.236198827938057</v>
      </c>
      <c r="Z36" s="63" t="n">
        <f aca="false">IF(Z15=0,0,(Z9+Z11+Enterprise!Z200)/Z15)</f>
        <v>0.25568291496635</v>
      </c>
      <c r="AA36" s="63" t="n">
        <f aca="false">IF(AA15=0,0,(AA9+AA11+Enterprise!AA200)/AA15)</f>
        <v>0.286108586520038</v>
      </c>
      <c r="AB36" s="63" t="n">
        <f aca="false">IF(AB15=0,0,(AB9+AB11+Enterprise!AB200)/AB15)</f>
        <v>0.314739649982075</v>
      </c>
    </row>
    <row r="37" customFormat="false" ht="15" hidden="false" customHeight="false" outlineLevel="0" collapsed="false">
      <c r="A37" s="28" t="s">
        <v>796</v>
      </c>
      <c r="B37" s="62"/>
      <c r="C37" s="66" t="n">
        <f aca="false">1-C36</f>
        <v>0.760503725172709</v>
      </c>
      <c r="D37" s="66" t="n">
        <f aca="false">1-D36</f>
        <v>0.72154219520063</v>
      </c>
      <c r="E37" s="75" t="n">
        <f aca="false">1-E36</f>
        <v>0.769567774051479</v>
      </c>
      <c r="F37" s="75" t="n">
        <f aca="false">1-F36</f>
        <v>0.741491165894159</v>
      </c>
      <c r="G37" s="75" t="n">
        <f aca="false">1-G36</f>
        <v>0.776288684366331</v>
      </c>
      <c r="H37" s="75" t="n">
        <f aca="false">1-H36</f>
        <v>0.760455967583719</v>
      </c>
      <c r="I37" s="75" t="n">
        <f aca="false">1-I36</f>
        <v>0.743460286301151</v>
      </c>
      <c r="J37" s="75" t="n">
        <f aca="false">1-J36</f>
        <v>0.77735412977827</v>
      </c>
      <c r="K37" s="75" t="n">
        <f aca="false">1-K36</f>
        <v>0.771610312267317</v>
      </c>
      <c r="L37" s="75" t="n">
        <f aca="false">1-L36</f>
        <v>0.775525561684229</v>
      </c>
      <c r="M37" s="75" t="n">
        <f aca="false">1-M36</f>
        <v>0.803445356994665</v>
      </c>
      <c r="N37" s="75" t="n">
        <f aca="false">1-N36</f>
        <v>0.747781223706423</v>
      </c>
      <c r="O37" s="75" t="n">
        <f aca="false">1-O36</f>
        <v>0.749366921525937</v>
      </c>
      <c r="P37" s="75" t="n">
        <f aca="false">1-P36</f>
        <v>0.703895888609239</v>
      </c>
      <c r="Q37" s="75" t="n">
        <f aca="false">1-Q36</f>
        <v>0.684578900770807</v>
      </c>
      <c r="R37" s="75" t="n">
        <f aca="false">1-R36</f>
        <v>0.723947467150281</v>
      </c>
      <c r="S37" s="75" t="n">
        <f aca="false">1-S36</f>
        <v>0.701748783409505</v>
      </c>
      <c r="T37" s="75" t="n">
        <f aca="false">1-T36</f>
        <v>0.668502694220878</v>
      </c>
      <c r="U37" s="75" t="n">
        <f aca="false">1-U36</f>
        <v>0.657229091284872</v>
      </c>
      <c r="V37" s="75" t="n">
        <f aca="false">1-V36</f>
        <v>0.792028681029754</v>
      </c>
      <c r="W37" s="75" t="n">
        <f aca="false">1-W36</f>
        <v>0.744629569086848</v>
      </c>
      <c r="X37" s="75" t="n">
        <f aca="false">1-X36</f>
        <v>0.758257838810068</v>
      </c>
      <c r="Y37" s="75" t="n">
        <f aca="false">1-Y36</f>
        <v>0.763801172061943</v>
      </c>
      <c r="Z37" s="75" t="n">
        <f aca="false">1-Z36</f>
        <v>0.74431708503365</v>
      </c>
      <c r="AA37" s="75" t="n">
        <f aca="false">1-AA36</f>
        <v>0.713891413479962</v>
      </c>
      <c r="AB37" s="75" t="n">
        <f aca="false">1-AB36</f>
        <v>0.685260350017926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797</v>
      </c>
    </row>
    <row r="3" customFormat="false" ht="15" hidden="false" customHeight="false" outlineLevel="0" collapsed="false">
      <c r="A3" s="49" t="s">
        <v>798</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799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800</v>
      </c>
      <c r="B9" s="62" t="s">
        <v>801</v>
      </c>
      <c r="C9" s="64" t="n">
        <f aca="false">SUM(E9:P9)</f>
        <v>1151499.73641013</v>
      </c>
      <c r="D9" s="64" t="n">
        <f aca="false">SUM(Q9:AB9)</f>
        <v>1659145.9475845</v>
      </c>
      <c r="E9" s="65" t="n">
        <f aca="false">IF(E$5="A",Inputs_Actuals!E9,Assumptions!$C$128*(1+Assumptions!$F$179)^Assumptions!E$209*Assumptions!E$213)</f>
        <v>77172.26</v>
      </c>
      <c r="F9" s="65" t="n">
        <f aca="false">IF(F$5="A",Inputs_Actuals!F9,Assumptions!$C$128*(1+Assumptions!$F$179)^Assumptions!F$209*Assumptions!F$213)</f>
        <v>90498.36</v>
      </c>
      <c r="G9" s="65" t="n">
        <f aca="false">IF(G$5="A",Inputs_Actuals!G9,Assumptions!$C$128*(1+Assumptions!$F$179)^Assumptions!G$209*Assumptions!G$213)</f>
        <v>92890.7</v>
      </c>
      <c r="H9" s="65" t="n">
        <f aca="false">IF(H$5="A",Inputs_Actuals!H9,Assumptions!$C$128*(1+Assumptions!$F$179)^Assumptions!H$209*Assumptions!H$213)</f>
        <v>85657.9</v>
      </c>
      <c r="I9" s="65" t="n">
        <f aca="false">IF(I$5="A",Inputs_Actuals!I9,Assumptions!$C$128*(1+Assumptions!$F$179)^Assumptions!I$209*Assumptions!I$213)</f>
        <v>88939.25</v>
      </c>
      <c r="J9" s="65" t="n">
        <f aca="false">IF(J$5="A",Inputs_Actuals!J9,Assumptions!$C$128*(1+Assumptions!$F$179)^Assumptions!J$209*Assumptions!J$213)</f>
        <v>89823.78</v>
      </c>
      <c r="K9" s="65" t="n">
        <f aca="false">IF(K$5="A",Inputs_Actuals!K9,Assumptions!$C$128*(1+Assumptions!$F$179)^Assumptions!K$209*Assumptions!K$213)</f>
        <v>93824.48</v>
      </c>
      <c r="L9" s="65" t="n">
        <f aca="false">IF(L$5="A",Inputs_Actuals!L9,Assumptions!$C$128*(1+Assumptions!$F$179)^Assumptions!L$209*Assumptions!L$213)</f>
        <v>87250.27</v>
      </c>
      <c r="M9" s="65" t="n">
        <f aca="false">IF(M$5="A",Inputs_Actuals!M9,Assumptions!$C$128*(1+Assumptions!$F$179)^Assumptions!M$209*Assumptions!M$213)</f>
        <v>108227.821713334</v>
      </c>
      <c r="N9" s="65" t="n">
        <f aca="false">IF(N$5="A",Inputs_Actuals!N9,Assumptions!$C$128*(1+Assumptions!$F$179)^Assumptions!N$209*Assumptions!N$213)</f>
        <v>112502.094271861</v>
      </c>
      <c r="O9" s="65" t="n">
        <f aca="false">IF(O$5="A",Inputs_Actuals!O9,Assumptions!$C$128*(1+Assumptions!$F$179)^Assumptions!O$209*Assumptions!O$213)</f>
        <v>113212.9582788</v>
      </c>
      <c r="P9" s="65" t="n">
        <f aca="false">IF(P$5="A",Inputs_Actuals!P9,Assumptions!$C$128*(1+Assumptions!$F$179)^Assumptions!P$209*Assumptions!P$213)</f>
        <v>111499.862146135</v>
      </c>
      <c r="Q9" s="65" t="n">
        <f aca="false">IF(Q$5="A",Inputs_Actuals!Q9,Assumptions!$C$128*(1+Assumptions!$F$179)^Assumptions!Q$209*Assumptions!Q$213)</f>
        <v>122934.075967408</v>
      </c>
      <c r="R9" s="65" t="n">
        <f aca="false">IF(R$5="A",Inputs_Actuals!R9,Assumptions!$C$128*(1+Assumptions!$F$179)^Assumptions!R$209*Assumptions!R$213)</f>
        <v>123710.856261118</v>
      </c>
      <c r="S9" s="65" t="n">
        <f aca="false">IF(S$5="A",Inputs_Actuals!S9,Assumptions!$C$128*(1+Assumptions!$F$179)^Assumptions!S$209*Assumptions!S$213)</f>
        <v>129229.679065137</v>
      </c>
      <c r="T9" s="65" t="n">
        <f aca="false">IF(T$5="A",Inputs_Actuals!T9,Assumptions!$C$128*(1+Assumptions!$F$179)^Assumptions!T$209*Assumptions!T$213)</f>
        <v>128081.856159021</v>
      </c>
      <c r="U9" s="65" t="n">
        <f aca="false">IF(U$5="A",Inputs_Actuals!U9,Assumptions!$C$128*(1+Assumptions!$F$179)^Assumptions!U$209*Assumptions!U$213)</f>
        <v>130598.405711359</v>
      </c>
      <c r="V9" s="65" t="n">
        <f aca="false">IF(V$5="A",Inputs_Actuals!V9,Assumptions!$C$128*(1+Assumptions!$F$179)^Assumptions!V$209*Assumptions!V$213)</f>
        <v>135882.041199105</v>
      </c>
      <c r="W9" s="65" t="n">
        <f aca="false">IF(W$5="A",Inputs_Actuals!W9,Assumptions!$C$128*(1+Assumptions!$F$179)^Assumptions!W$209*Assumptions!W$213)</f>
        <v>131292.713108555</v>
      </c>
      <c r="X9" s="65" t="n">
        <f aca="false">IF(X$5="A",Inputs_Actuals!X9,Assumptions!$C$128*(1+Assumptions!$F$179)^Assumptions!X$209*Assumptions!X$213)</f>
        <v>122321.489209505</v>
      </c>
      <c r="Y9" s="65" t="n">
        <f aca="false">IF(Y$5="A",Inputs_Actuals!Y9,Assumptions!$C$128*(1+Assumptions!$F$179)^Assumptions!Y$209*Assumptions!Y$213)</f>
        <v>154306.995067433</v>
      </c>
      <c r="Z9" s="65" t="n">
        <f aca="false">IF(Z$5="A",Inputs_Actuals!Z9,Assumptions!$C$128*(1+Assumptions!$F$179)^Assumptions!Z$209*Assumptions!Z$213)</f>
        <v>160401.085701101</v>
      </c>
      <c r="AA9" s="65" t="n">
        <f aca="false">IF(AA$5="A",Inputs_Actuals!AA9,Assumptions!$C$128*(1+Assumptions!$F$179)^Assumptions!AA$209*Assumptions!AA$213)</f>
        <v>161414.607798061</v>
      </c>
      <c r="AB9" s="65" t="n">
        <f aca="false">IF(AB$5="A",Inputs_Actuals!AB9,Assumptions!$C$128*(1+Assumptions!$F$179)^Assumptions!AB$209*Assumptions!AB$213)</f>
        <v>158972.1423367</v>
      </c>
    </row>
    <row r="10" customFormat="false" ht="15" hidden="false" customHeight="false" outlineLevel="0" collapsed="false">
      <c r="A10" s="22" t="s">
        <v>802</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row>
    <row r="11" customFormat="false" ht="15" hidden="false" customHeight="false" outlineLevel="0" collapsed="false">
      <c r="A11" s="28" t="s">
        <v>803</v>
      </c>
      <c r="B11" s="62" t="s">
        <v>90</v>
      </c>
      <c r="C11" s="64" t="n">
        <f aca="false">SUM(E11:P11)</f>
        <v>0</v>
      </c>
      <c r="D11" s="64" t="n">
        <f aca="false">SUM(Q11:AB11)</f>
        <v>0</v>
      </c>
      <c r="E11" s="73" t="n">
        <f aca="false">0</f>
        <v>0</v>
      </c>
      <c r="F11" s="73" t="n">
        <f aca="false">0</f>
        <v>0</v>
      </c>
      <c r="G11" s="73" t="n">
        <f aca="false">0</f>
        <v>0</v>
      </c>
      <c r="H11" s="73" t="n">
        <f aca="false">0</f>
        <v>0</v>
      </c>
      <c r="I11" s="73" t="n">
        <f aca="false">0</f>
        <v>0</v>
      </c>
      <c r="J11" s="73" t="n">
        <f aca="false">0</f>
        <v>0</v>
      </c>
      <c r="K11" s="73" t="n">
        <f aca="false">0</f>
        <v>0</v>
      </c>
      <c r="L11" s="73" t="n">
        <f aca="false">0</f>
        <v>0</v>
      </c>
      <c r="M11" s="73" t="n">
        <f aca="false">0</f>
        <v>0</v>
      </c>
      <c r="N11" s="73" t="n">
        <f aca="false">0</f>
        <v>0</v>
      </c>
      <c r="O11" s="73" t="n">
        <f aca="false">0</f>
        <v>0</v>
      </c>
      <c r="P11" s="73" t="n">
        <f aca="false">0</f>
        <v>0</v>
      </c>
      <c r="Q11" s="73" t="n">
        <f aca="false">0</f>
        <v>0</v>
      </c>
      <c r="R11" s="73" t="n">
        <f aca="false">0</f>
        <v>0</v>
      </c>
      <c r="S11" s="73" t="n">
        <f aca="false">0</f>
        <v>0</v>
      </c>
      <c r="T11" s="73" t="n">
        <f aca="false">0</f>
        <v>0</v>
      </c>
      <c r="U11" s="73" t="n">
        <f aca="false">0</f>
        <v>0</v>
      </c>
      <c r="V11" s="73" t="n">
        <f aca="false">0</f>
        <v>0</v>
      </c>
      <c r="W11" s="73" t="n">
        <f aca="false">0</f>
        <v>0</v>
      </c>
      <c r="X11" s="73" t="n">
        <f aca="false">0</f>
        <v>0</v>
      </c>
      <c r="Y11" s="73" t="n">
        <f aca="false">0</f>
        <v>0</v>
      </c>
      <c r="Z11" s="73" t="n">
        <f aca="false">0</f>
        <v>0</v>
      </c>
      <c r="AA11" s="73" t="n">
        <f aca="false">0</f>
        <v>0</v>
      </c>
      <c r="AB11" s="73" t="n">
        <f aca="false">0</f>
        <v>0</v>
      </c>
    </row>
    <row r="12" customFormat="false" ht="15" hidden="false" customHeight="false" outlineLevel="0" collapsed="false">
      <c r="A12" s="28" t="s">
        <v>804</v>
      </c>
      <c r="B12" s="62" t="s">
        <v>90</v>
      </c>
      <c r="C12" s="64" t="n">
        <f aca="false">SUM(E12:P12)</f>
        <v>935.6</v>
      </c>
      <c r="D12" s="64" t="n">
        <f aca="false">SUM(Q12:AB12)</f>
        <v>0</v>
      </c>
      <c r="E12" s="65" t="n">
        <f aca="false">IF(E$5="A",Inputs_Actuals!E11,Assumptions!$F$123*History!$C$90)</f>
        <v>935.6</v>
      </c>
      <c r="F12" s="73" t="n">
        <f aca="false">0</f>
        <v>0</v>
      </c>
      <c r="G12" s="73" t="n">
        <f aca="false">0</f>
        <v>0</v>
      </c>
      <c r="H12" s="73" t="n">
        <f aca="false">0</f>
        <v>0</v>
      </c>
      <c r="I12" s="73" t="n">
        <f aca="false">0</f>
        <v>0</v>
      </c>
      <c r="J12" s="73" t="n">
        <f aca="false">0</f>
        <v>0</v>
      </c>
      <c r="K12" s="73" t="n">
        <f aca="false">0</f>
        <v>0</v>
      </c>
      <c r="L12" s="73" t="n">
        <f aca="false">0</f>
        <v>0</v>
      </c>
      <c r="M12" s="73" t="n">
        <f aca="false">0</f>
        <v>0</v>
      </c>
      <c r="N12" s="73" t="n">
        <f aca="false">0</f>
        <v>0</v>
      </c>
      <c r="O12" s="73" t="n">
        <f aca="false">0</f>
        <v>0</v>
      </c>
      <c r="P12" s="73" t="n">
        <f aca="false">0</f>
        <v>0</v>
      </c>
      <c r="Q12" s="73" t="n">
        <f aca="false">0</f>
        <v>0</v>
      </c>
      <c r="R12" s="73" t="n">
        <f aca="false">0</f>
        <v>0</v>
      </c>
      <c r="S12" s="73" t="n">
        <f aca="false">0</f>
        <v>0</v>
      </c>
      <c r="T12" s="73" t="n">
        <f aca="false">0</f>
        <v>0</v>
      </c>
      <c r="U12" s="73" t="n">
        <f aca="false">0</f>
        <v>0</v>
      </c>
      <c r="V12" s="73" t="n">
        <f aca="false">0</f>
        <v>0</v>
      </c>
      <c r="W12" s="73" t="n">
        <f aca="false">0</f>
        <v>0</v>
      </c>
      <c r="X12" s="73" t="n">
        <f aca="false">0</f>
        <v>0</v>
      </c>
      <c r="Y12" s="73" t="n">
        <f aca="false">0</f>
        <v>0</v>
      </c>
      <c r="Z12" s="73" t="n">
        <f aca="false">0</f>
        <v>0</v>
      </c>
      <c r="AA12" s="73" t="n">
        <f aca="false">0</f>
        <v>0</v>
      </c>
      <c r="AB12" s="73" t="n">
        <f aca="false">0</f>
        <v>0</v>
      </c>
    </row>
    <row r="13" customFormat="false" ht="15" hidden="false" customHeight="false" outlineLevel="0" collapsed="false">
      <c r="A13" s="28" t="s">
        <v>805</v>
      </c>
      <c r="B13" s="62" t="s">
        <v>90</v>
      </c>
      <c r="C13" s="64" t="n">
        <f aca="false">SUM(E13:P13)</f>
        <v>2182.66</v>
      </c>
      <c r="D13" s="64" t="n">
        <f aca="false">SUM(Q13:AB13)</f>
        <v>0</v>
      </c>
      <c r="E13" s="65" t="n">
        <f aca="false">IF(E$5="A",Inputs_Actuals!E12,Assumptions!$E$123*History!$C$91)</f>
        <v>1122.51</v>
      </c>
      <c r="F13" s="65" t="n">
        <f aca="false">IF(F$5="A",Inputs_Actuals!F12,Assumptions!$F$123*History!$C$91)</f>
        <v>1060.15</v>
      </c>
      <c r="G13" s="73" t="n">
        <f aca="false">0</f>
        <v>0</v>
      </c>
      <c r="H13" s="73" t="n">
        <f aca="false">0</f>
        <v>0</v>
      </c>
      <c r="I13" s="73" t="n">
        <f aca="false">0</f>
        <v>0</v>
      </c>
      <c r="J13" s="73" t="n">
        <f aca="false">0</f>
        <v>0</v>
      </c>
      <c r="K13" s="73" t="n">
        <f aca="false">0</f>
        <v>0</v>
      </c>
      <c r="L13" s="73" t="n">
        <f aca="false">0</f>
        <v>0</v>
      </c>
      <c r="M13" s="73" t="n">
        <f aca="false">0</f>
        <v>0</v>
      </c>
      <c r="N13" s="73" t="n">
        <f aca="false">0</f>
        <v>0</v>
      </c>
      <c r="O13" s="73" t="n">
        <f aca="false">0</f>
        <v>0</v>
      </c>
      <c r="P13" s="73" t="n">
        <f aca="false">0</f>
        <v>0</v>
      </c>
      <c r="Q13" s="73" t="n">
        <f aca="false">0</f>
        <v>0</v>
      </c>
      <c r="R13" s="73" t="n">
        <f aca="false">0</f>
        <v>0</v>
      </c>
      <c r="S13" s="73" t="n">
        <f aca="false">0</f>
        <v>0</v>
      </c>
      <c r="T13" s="73" t="n">
        <f aca="false">0</f>
        <v>0</v>
      </c>
      <c r="U13" s="73" t="n">
        <f aca="false">0</f>
        <v>0</v>
      </c>
      <c r="V13" s="73" t="n">
        <f aca="false">0</f>
        <v>0</v>
      </c>
      <c r="W13" s="73" t="n">
        <f aca="false">0</f>
        <v>0</v>
      </c>
      <c r="X13" s="73" t="n">
        <f aca="false">0</f>
        <v>0</v>
      </c>
      <c r="Y13" s="73" t="n">
        <f aca="false">0</f>
        <v>0</v>
      </c>
      <c r="Z13" s="73" t="n">
        <f aca="false">0</f>
        <v>0</v>
      </c>
      <c r="AA13" s="73" t="n">
        <f aca="false">0</f>
        <v>0</v>
      </c>
      <c r="AB13" s="73" t="n">
        <f aca="false">0</f>
        <v>0</v>
      </c>
    </row>
    <row r="14" customFormat="false" ht="15" hidden="false" customHeight="false" outlineLevel="0" collapsed="false">
      <c r="A14" s="28" t="s">
        <v>806</v>
      </c>
      <c r="B14" s="62" t="s">
        <v>90</v>
      </c>
      <c r="C14" s="64" t="n">
        <f aca="false">SUM(E14:P14)</f>
        <v>3719.88</v>
      </c>
      <c r="D14" s="64" t="n">
        <f aca="false">SUM(Q14:AB14)</f>
        <v>0</v>
      </c>
      <c r="E14" s="65" t="n">
        <f aca="false">IF(E$5="A",Inputs_Actuals!E13,Assumptions!$D$123*History!$C$92)</f>
        <v>1435.74</v>
      </c>
      <c r="F14" s="65" t="n">
        <f aca="false">IF(F$5="A",Inputs_Actuals!F13,Assumptions!$E$123*History!$C$92)</f>
        <v>1174.7</v>
      </c>
      <c r="G14" s="65" t="n">
        <f aca="false">IF(G$5="A",Inputs_Actuals!G13,Assumptions!$F$123*History!$C$92)</f>
        <v>1109.44</v>
      </c>
      <c r="H14" s="73" t="n">
        <f aca="false">0</f>
        <v>0</v>
      </c>
      <c r="I14" s="73" t="n">
        <f aca="false">0</f>
        <v>0</v>
      </c>
      <c r="J14" s="73" t="n">
        <f aca="false">0</f>
        <v>0</v>
      </c>
      <c r="K14" s="73" t="n">
        <f aca="false">0</f>
        <v>0</v>
      </c>
      <c r="L14" s="73" t="n">
        <f aca="false">0</f>
        <v>0</v>
      </c>
      <c r="M14" s="73" t="n">
        <f aca="false">0</f>
        <v>0</v>
      </c>
      <c r="N14" s="73" t="n">
        <f aca="false">0</f>
        <v>0</v>
      </c>
      <c r="O14" s="73" t="n">
        <f aca="false">0</f>
        <v>0</v>
      </c>
      <c r="P14" s="73" t="n">
        <f aca="false">0</f>
        <v>0</v>
      </c>
      <c r="Q14" s="73" t="n">
        <f aca="false">0</f>
        <v>0</v>
      </c>
      <c r="R14" s="73" t="n">
        <f aca="false">0</f>
        <v>0</v>
      </c>
      <c r="S14" s="73" t="n">
        <f aca="false">0</f>
        <v>0</v>
      </c>
      <c r="T14" s="73" t="n">
        <f aca="false">0</f>
        <v>0</v>
      </c>
      <c r="U14" s="73" t="n">
        <f aca="false">0</f>
        <v>0</v>
      </c>
      <c r="V14" s="73" t="n">
        <f aca="false">0</f>
        <v>0</v>
      </c>
      <c r="W14" s="73" t="n">
        <f aca="false">0</f>
        <v>0</v>
      </c>
      <c r="X14" s="73" t="n">
        <f aca="false">0</f>
        <v>0</v>
      </c>
      <c r="Y14" s="73" t="n">
        <f aca="false">0</f>
        <v>0</v>
      </c>
      <c r="Z14" s="73" t="n">
        <f aca="false">0</f>
        <v>0</v>
      </c>
      <c r="AA14" s="73" t="n">
        <f aca="false">0</f>
        <v>0</v>
      </c>
      <c r="AB14" s="73" t="n">
        <f aca="false">0</f>
        <v>0</v>
      </c>
    </row>
    <row r="15" customFormat="false" ht="15" hidden="false" customHeight="false" outlineLevel="0" collapsed="false">
      <c r="A15" s="28" t="s">
        <v>807</v>
      </c>
      <c r="B15" s="62" t="s">
        <v>90</v>
      </c>
      <c r="C15" s="64" t="n">
        <f aca="false">SUM(E15:P15)</f>
        <v>6132.99</v>
      </c>
      <c r="D15" s="64" t="n">
        <f aca="false">SUM(Q15:AB15)</f>
        <v>0</v>
      </c>
      <c r="E15" s="65" t="n">
        <f aca="false">IF(E$5="A",Inputs_Actuals!E14,Assumptions!$C$123*History!$C$93)</f>
        <v>2020.28</v>
      </c>
      <c r="F15" s="65" t="n">
        <f aca="false">IF(F$5="A",Inputs_Actuals!F14,Assumptions!$D$123*History!$C$93)</f>
        <v>1587.36</v>
      </c>
      <c r="G15" s="65" t="n">
        <f aca="false">IF(G$5="A",Inputs_Actuals!G14,Assumptions!$E$123*History!$C$93)</f>
        <v>1298.75</v>
      </c>
      <c r="H15" s="65" t="n">
        <f aca="false">IF(H$5="A",Inputs_Actuals!H14,Assumptions!$F$123*History!$C$93)</f>
        <v>1226.6</v>
      </c>
      <c r="I15" s="73" t="n">
        <f aca="false">0</f>
        <v>0</v>
      </c>
      <c r="J15" s="73" t="n">
        <f aca="false">0</f>
        <v>0</v>
      </c>
      <c r="K15" s="73" t="n">
        <f aca="false">0</f>
        <v>0</v>
      </c>
      <c r="L15" s="73" t="n">
        <f aca="false">0</f>
        <v>0</v>
      </c>
      <c r="M15" s="73" t="n">
        <f aca="false">0</f>
        <v>0</v>
      </c>
      <c r="N15" s="73" t="n">
        <f aca="false">0</f>
        <v>0</v>
      </c>
      <c r="O15" s="73" t="n">
        <f aca="false">0</f>
        <v>0</v>
      </c>
      <c r="P15" s="73" t="n">
        <f aca="false">0</f>
        <v>0</v>
      </c>
      <c r="Q15" s="73" t="n">
        <f aca="false">0</f>
        <v>0</v>
      </c>
      <c r="R15" s="73" t="n">
        <f aca="false">0</f>
        <v>0</v>
      </c>
      <c r="S15" s="73" t="n">
        <f aca="false">0</f>
        <v>0</v>
      </c>
      <c r="T15" s="73" t="n">
        <f aca="false">0</f>
        <v>0</v>
      </c>
      <c r="U15" s="73" t="n">
        <f aca="false">0</f>
        <v>0</v>
      </c>
      <c r="V15" s="73" t="n">
        <f aca="false">0</f>
        <v>0</v>
      </c>
      <c r="W15" s="73" t="n">
        <f aca="false">0</f>
        <v>0</v>
      </c>
      <c r="X15" s="73" t="n">
        <f aca="false">0</f>
        <v>0</v>
      </c>
      <c r="Y15" s="73" t="n">
        <f aca="false">0</f>
        <v>0</v>
      </c>
      <c r="Z15" s="73" t="n">
        <f aca="false">0</f>
        <v>0</v>
      </c>
      <c r="AA15" s="73" t="n">
        <f aca="false">0</f>
        <v>0</v>
      </c>
      <c r="AB15" s="73" t="n">
        <f aca="false">0</f>
        <v>0</v>
      </c>
    </row>
    <row r="16" customFormat="false" ht="15" hidden="false" customHeight="false" outlineLevel="0" collapsed="false">
      <c r="A16" s="28" t="s">
        <v>808</v>
      </c>
      <c r="B16" s="62" t="s">
        <v>90</v>
      </c>
      <c r="C16" s="64" t="n">
        <f aca="false">SUM(E16:P16)</f>
        <v>8104.93</v>
      </c>
      <c r="D16" s="64" t="n">
        <f aca="false">SUM(Q16:AB16)</f>
        <v>0</v>
      </c>
      <c r="E16" s="65" t="n">
        <f aca="false">IF(E$5="A",Inputs_Actuals!E15,Assumptions!$B$123*History!$C$94)</f>
        <v>2363.94</v>
      </c>
      <c r="F16" s="65" t="n">
        <f aca="false">IF(F$5="A",Inputs_Actuals!F15,Assumptions!$C$123*History!$C$94)</f>
        <v>1891.15</v>
      </c>
      <c r="G16" s="65" t="n">
        <f aca="false">IF(G$5="A",Inputs_Actuals!G15,Assumptions!$D$123*History!$C$94)</f>
        <v>1485.9</v>
      </c>
      <c r="H16" s="65" t="n">
        <f aca="false">IF(H$5="A",Inputs_Actuals!H15,Assumptions!$E$123*History!$C$94)</f>
        <v>1215.74</v>
      </c>
      <c r="I16" s="65" t="n">
        <f aca="false">IF(I$5="A",Inputs_Actuals!I15,Assumptions!$F$123*History!$C$94)</f>
        <v>1148.2</v>
      </c>
      <c r="J16" s="73" t="n">
        <f aca="false">0</f>
        <v>0</v>
      </c>
      <c r="K16" s="73" t="n">
        <f aca="false">0</f>
        <v>0</v>
      </c>
      <c r="L16" s="73" t="n">
        <f aca="false">0</f>
        <v>0</v>
      </c>
      <c r="M16" s="73" t="n">
        <f aca="false">0</f>
        <v>0</v>
      </c>
      <c r="N16" s="73" t="n">
        <f aca="false">0</f>
        <v>0</v>
      </c>
      <c r="O16" s="73" t="n">
        <f aca="false">0</f>
        <v>0</v>
      </c>
      <c r="P16" s="73" t="n">
        <f aca="false">0</f>
        <v>0</v>
      </c>
      <c r="Q16" s="73" t="n">
        <f aca="false">0</f>
        <v>0</v>
      </c>
      <c r="R16" s="73" t="n">
        <f aca="false">0</f>
        <v>0</v>
      </c>
      <c r="S16" s="73" t="n">
        <f aca="false">0</f>
        <v>0</v>
      </c>
      <c r="T16" s="73" t="n">
        <f aca="false">0</f>
        <v>0</v>
      </c>
      <c r="U16" s="73" t="n">
        <f aca="false">0</f>
        <v>0</v>
      </c>
      <c r="V16" s="73" t="n">
        <f aca="false">0</f>
        <v>0</v>
      </c>
      <c r="W16" s="73" t="n">
        <f aca="false">0</f>
        <v>0</v>
      </c>
      <c r="X16" s="73" t="n">
        <f aca="false">0</f>
        <v>0</v>
      </c>
      <c r="Y16" s="73" t="n">
        <f aca="false">0</f>
        <v>0</v>
      </c>
      <c r="Z16" s="73" t="n">
        <f aca="false">0</f>
        <v>0</v>
      </c>
      <c r="AA16" s="73" t="n">
        <f aca="false">0</f>
        <v>0</v>
      </c>
      <c r="AB16" s="73" t="n">
        <f aca="false">0</f>
        <v>0</v>
      </c>
    </row>
    <row r="17" customFormat="false" ht="15" hidden="false" customHeight="false" outlineLevel="0" collapsed="false">
      <c r="A17" s="28" t="s">
        <v>809</v>
      </c>
      <c r="B17" s="62" t="s">
        <v>90</v>
      </c>
      <c r="C17" s="64" t="n">
        <f aca="false">SUM(E17:P17)</f>
        <v>10584.2</v>
      </c>
      <c r="D17" s="64" t="n">
        <f aca="false">SUM(Q17:AB17)</f>
        <v>0</v>
      </c>
      <c r="E17" s="65" t="n">
        <f aca="false">IF(E$5="A",Inputs_Actuals!E16,Assumptions!$H$121*History!$C$95)</f>
        <v>2886.6</v>
      </c>
      <c r="F17" s="65" t="n">
        <f aca="false">IF(F$5="A",Inputs_Actuals!F16,Assumptions!$B$123*History!$C$95)</f>
        <v>2245.13</v>
      </c>
      <c r="G17" s="65" t="n">
        <f aca="false">IF(G$5="A",Inputs_Actuals!G16,Assumptions!$C$123*History!$C$95)</f>
        <v>1796.11</v>
      </c>
      <c r="H17" s="65" t="n">
        <f aca="false">IF(H$5="A",Inputs_Actuals!H16,Assumptions!$D$123*History!$C$95)</f>
        <v>1411.23</v>
      </c>
      <c r="I17" s="65" t="n">
        <f aca="false">IF(I$5="A",Inputs_Actuals!I16,Assumptions!$E$123*History!$C$95)</f>
        <v>1154.64</v>
      </c>
      <c r="J17" s="65" t="n">
        <f aca="false">IF(J$5="A",Inputs_Actuals!J16,Assumptions!$F$123*History!$C$95)</f>
        <v>1090.49</v>
      </c>
      <c r="K17" s="73" t="n">
        <f aca="false">0</f>
        <v>0</v>
      </c>
      <c r="L17" s="73" t="n">
        <f aca="false">0</f>
        <v>0</v>
      </c>
      <c r="M17" s="73" t="n">
        <f aca="false">0</f>
        <v>0</v>
      </c>
      <c r="N17" s="73" t="n">
        <f aca="false">0</f>
        <v>0</v>
      </c>
      <c r="O17" s="73" t="n">
        <f aca="false">0</f>
        <v>0</v>
      </c>
      <c r="P17" s="73" t="n">
        <f aca="false">0</f>
        <v>0</v>
      </c>
      <c r="Q17" s="73" t="n">
        <f aca="false">0</f>
        <v>0</v>
      </c>
      <c r="R17" s="73" t="n">
        <f aca="false">0</f>
        <v>0</v>
      </c>
      <c r="S17" s="73" t="n">
        <f aca="false">0</f>
        <v>0</v>
      </c>
      <c r="T17" s="73" t="n">
        <f aca="false">0</f>
        <v>0</v>
      </c>
      <c r="U17" s="73" t="n">
        <f aca="false">0</f>
        <v>0</v>
      </c>
      <c r="V17" s="73" t="n">
        <f aca="false">0</f>
        <v>0</v>
      </c>
      <c r="W17" s="73" t="n">
        <f aca="false">0</f>
        <v>0</v>
      </c>
      <c r="X17" s="73" t="n">
        <f aca="false">0</f>
        <v>0</v>
      </c>
      <c r="Y17" s="73" t="n">
        <f aca="false">0</f>
        <v>0</v>
      </c>
      <c r="Z17" s="73" t="n">
        <f aca="false">0</f>
        <v>0</v>
      </c>
      <c r="AA17" s="73" t="n">
        <f aca="false">0</f>
        <v>0</v>
      </c>
      <c r="AB17" s="73" t="n">
        <f aca="false">0</f>
        <v>0</v>
      </c>
    </row>
    <row r="18" customFormat="false" ht="15" hidden="false" customHeight="false" outlineLevel="0" collapsed="false">
      <c r="A18" s="28" t="s">
        <v>810</v>
      </c>
      <c r="B18" s="62" t="s">
        <v>90</v>
      </c>
      <c r="C18" s="64" t="n">
        <f aca="false">SUM(E18:P18)</f>
        <v>13823.02</v>
      </c>
      <c r="D18" s="64" t="n">
        <f aca="false">SUM(Q18:AB18)</f>
        <v>0</v>
      </c>
      <c r="E18" s="65" t="n">
        <f aca="false">IF(E$5="A",Inputs_Actuals!E17,Assumptions!$G$121*History!$C$96)</f>
        <v>3455.76</v>
      </c>
      <c r="F18" s="65" t="n">
        <f aca="false">IF(F$5="A",Inputs_Actuals!F17,Assumptions!$H$121*History!$C$96)</f>
        <v>2827.44</v>
      </c>
      <c r="G18" s="65" t="n">
        <f aca="false">IF(G$5="A",Inputs_Actuals!G17,Assumptions!$B$123*History!$C$96)</f>
        <v>2199.12</v>
      </c>
      <c r="H18" s="65" t="n">
        <f aca="false">IF(H$5="A",Inputs_Actuals!H17,Assumptions!$C$123*History!$C$96)</f>
        <v>1759.29</v>
      </c>
      <c r="I18" s="65" t="n">
        <f aca="false">IF(I$5="A",Inputs_Actuals!I17,Assumptions!$D$123*History!$C$96)</f>
        <v>1382.3</v>
      </c>
      <c r="J18" s="65" t="n">
        <f aca="false">IF(J$5="A",Inputs_Actuals!J17,Assumptions!$E$123*History!$C$96)</f>
        <v>1130.97</v>
      </c>
      <c r="K18" s="65" t="n">
        <f aca="false">IF(K$5="A",Inputs_Actuals!K17,Assumptions!$F$123*History!$C$96)</f>
        <v>1068.14</v>
      </c>
      <c r="L18" s="73" t="n">
        <f aca="false">0</f>
        <v>0</v>
      </c>
      <c r="M18" s="73" t="n">
        <f aca="false">0</f>
        <v>0</v>
      </c>
      <c r="N18" s="73" t="n">
        <f aca="false">0</f>
        <v>0</v>
      </c>
      <c r="O18" s="73" t="n">
        <f aca="false">0</f>
        <v>0</v>
      </c>
      <c r="P18" s="73" t="n">
        <f aca="false">0</f>
        <v>0</v>
      </c>
      <c r="Q18" s="73" t="n">
        <f aca="false">0</f>
        <v>0</v>
      </c>
      <c r="R18" s="73" t="n">
        <f aca="false">0</f>
        <v>0</v>
      </c>
      <c r="S18" s="73" t="n">
        <f aca="false">0</f>
        <v>0</v>
      </c>
      <c r="T18" s="73" t="n">
        <f aca="false">0</f>
        <v>0</v>
      </c>
      <c r="U18" s="73" t="n">
        <f aca="false">0</f>
        <v>0</v>
      </c>
      <c r="V18" s="73" t="n">
        <f aca="false">0</f>
        <v>0</v>
      </c>
      <c r="W18" s="73" t="n">
        <f aca="false">0</f>
        <v>0</v>
      </c>
      <c r="X18" s="73" t="n">
        <f aca="false">0</f>
        <v>0</v>
      </c>
      <c r="Y18" s="73" t="n">
        <f aca="false">0</f>
        <v>0</v>
      </c>
      <c r="Z18" s="73" t="n">
        <f aca="false">0</f>
        <v>0</v>
      </c>
      <c r="AA18" s="73" t="n">
        <f aca="false">0</f>
        <v>0</v>
      </c>
      <c r="AB18" s="73" t="n">
        <f aca="false">0</f>
        <v>0</v>
      </c>
    </row>
    <row r="19" customFormat="false" ht="15" hidden="false" customHeight="false" outlineLevel="0" collapsed="false">
      <c r="A19" s="28" t="s">
        <v>811</v>
      </c>
      <c r="B19" s="62" t="s">
        <v>90</v>
      </c>
      <c r="C19" s="64" t="n">
        <f aca="false">SUM(E19:P19)</f>
        <v>23714.28</v>
      </c>
      <c r="D19" s="64" t="n">
        <f aca="false">SUM(Q19:AB19)</f>
        <v>0</v>
      </c>
      <c r="E19" s="65" t="n">
        <f aca="false">IF(E$5="A",Inputs_Actuals!E18,Assumptions!$F$121*History!$C$97)</f>
        <v>5724.14</v>
      </c>
      <c r="F19" s="65" t="n">
        <f aca="false">IF(F$5="A",Inputs_Actuals!F18,Assumptions!$G$121*History!$C$97)</f>
        <v>4497.54</v>
      </c>
      <c r="G19" s="65" t="n">
        <f aca="false">IF(G$5="A",Inputs_Actuals!G18,Assumptions!$H$121*History!$C$97)</f>
        <v>3679.8</v>
      </c>
      <c r="H19" s="65" t="n">
        <f aca="false">IF(H$5="A",Inputs_Actuals!H18,Assumptions!$B$123*History!$C$97)</f>
        <v>2862.07</v>
      </c>
      <c r="I19" s="65" t="n">
        <f aca="false">IF(I$5="A",Inputs_Actuals!I18,Assumptions!$C$123*History!$C$97)</f>
        <v>2289.65</v>
      </c>
      <c r="J19" s="65" t="n">
        <f aca="false">IF(J$5="A",Inputs_Actuals!J18,Assumptions!$D$123*History!$C$97)</f>
        <v>1799.01</v>
      </c>
      <c r="K19" s="65" t="n">
        <f aca="false">IF(K$5="A",Inputs_Actuals!K18,Assumptions!$E$123*History!$C$97)</f>
        <v>1471.92</v>
      </c>
      <c r="L19" s="65" t="n">
        <f aca="false">IF(L$5="A",Inputs_Actuals!L18,Assumptions!$F$123*History!$C$97)</f>
        <v>1390.15</v>
      </c>
      <c r="M19" s="73" t="n">
        <f aca="false">0</f>
        <v>0</v>
      </c>
      <c r="N19" s="73" t="n">
        <f aca="false">0</f>
        <v>0</v>
      </c>
      <c r="O19" s="73" t="n">
        <f aca="false">0</f>
        <v>0</v>
      </c>
      <c r="P19" s="73" t="n">
        <f aca="false">0</f>
        <v>0</v>
      </c>
      <c r="Q19" s="73" t="n">
        <f aca="false">0</f>
        <v>0</v>
      </c>
      <c r="R19" s="73" t="n">
        <f aca="false">0</f>
        <v>0</v>
      </c>
      <c r="S19" s="73" t="n">
        <f aca="false">0</f>
        <v>0</v>
      </c>
      <c r="T19" s="73" t="n">
        <f aca="false">0</f>
        <v>0</v>
      </c>
      <c r="U19" s="73" t="n">
        <f aca="false">0</f>
        <v>0</v>
      </c>
      <c r="V19" s="73" t="n">
        <f aca="false">0</f>
        <v>0</v>
      </c>
      <c r="W19" s="73" t="n">
        <f aca="false">0</f>
        <v>0</v>
      </c>
      <c r="X19" s="73" t="n">
        <f aca="false">0</f>
        <v>0</v>
      </c>
      <c r="Y19" s="73" t="n">
        <f aca="false">0</f>
        <v>0</v>
      </c>
      <c r="Z19" s="73" t="n">
        <f aca="false">0</f>
        <v>0</v>
      </c>
      <c r="AA19" s="73" t="n">
        <f aca="false">0</f>
        <v>0</v>
      </c>
      <c r="AB19" s="73" t="n">
        <f aca="false">0</f>
        <v>0</v>
      </c>
    </row>
    <row r="20" customFormat="false" ht="15" hidden="false" customHeight="false" outlineLevel="0" collapsed="false">
      <c r="A20" s="28" t="s">
        <v>812</v>
      </c>
      <c r="B20" s="62" t="s">
        <v>90</v>
      </c>
      <c r="C20" s="64" t="n">
        <f aca="false">SUM(E20:P20)</f>
        <v>31446.2914</v>
      </c>
      <c r="D20" s="64" t="n">
        <f aca="false">SUM(Q20:AB20)</f>
        <v>0</v>
      </c>
      <c r="E20" s="65" t="n">
        <f aca="false">IF(E$5="A",Inputs_Actuals!E19,Assumptions!$E$121*History!$C$98)</f>
        <v>7457.16</v>
      </c>
      <c r="F20" s="65" t="n">
        <f aca="false">IF(F$5="A",Inputs_Actuals!F19,Assumptions!$F$121*History!$C$98)</f>
        <v>5800.01</v>
      </c>
      <c r="G20" s="65" t="n">
        <f aca="false">IF(G$5="A",Inputs_Actuals!G19,Assumptions!$G$121*History!$C$98)</f>
        <v>4557.15</v>
      </c>
      <c r="H20" s="65" t="n">
        <f aca="false">IF(H$5="A",Inputs_Actuals!H19,Assumptions!$H$121*History!$C$98)</f>
        <v>3728.58</v>
      </c>
      <c r="I20" s="65" t="n">
        <f aca="false">IF(I$5="A",Inputs_Actuals!I19,Assumptions!$B$123*History!$C$98)</f>
        <v>2900.01</v>
      </c>
      <c r="J20" s="65" t="n">
        <f aca="false">IF(J$5="A",Inputs_Actuals!J19,Assumptions!$C$123*History!$C$98)</f>
        <v>2320.01</v>
      </c>
      <c r="K20" s="65" t="n">
        <f aca="false">IF(K$5="A",Inputs_Actuals!K19,Assumptions!$D$123*History!$C$98)</f>
        <v>1822.86</v>
      </c>
      <c r="L20" s="65" t="n">
        <f aca="false">IF(L$5="A",Inputs_Actuals!L19,Assumptions!$E$123*History!$C$98)</f>
        <v>1491.43</v>
      </c>
      <c r="M20" s="65" t="n">
        <f aca="false">IF(M$5="A",Inputs_Actuals!M19,Assumptions!$F$123*History!$C$98)</f>
        <v>1369.0814</v>
      </c>
      <c r="N20" s="73" t="n">
        <f aca="false">0</f>
        <v>0</v>
      </c>
      <c r="O20" s="73" t="n">
        <f aca="false">0</f>
        <v>0</v>
      </c>
      <c r="P20" s="73" t="n">
        <f aca="false">0</f>
        <v>0</v>
      </c>
      <c r="Q20" s="73" t="n">
        <f aca="false">0</f>
        <v>0</v>
      </c>
      <c r="R20" s="73" t="n">
        <f aca="false">0</f>
        <v>0</v>
      </c>
      <c r="S20" s="73" t="n">
        <f aca="false">0</f>
        <v>0</v>
      </c>
      <c r="T20" s="73" t="n">
        <f aca="false">0</f>
        <v>0</v>
      </c>
      <c r="U20" s="73" t="n">
        <f aca="false">0</f>
        <v>0</v>
      </c>
      <c r="V20" s="73" t="n">
        <f aca="false">0</f>
        <v>0</v>
      </c>
      <c r="W20" s="73" t="n">
        <f aca="false">0</f>
        <v>0</v>
      </c>
      <c r="X20" s="73" t="n">
        <f aca="false">0</f>
        <v>0</v>
      </c>
      <c r="Y20" s="73" t="n">
        <f aca="false">0</f>
        <v>0</v>
      </c>
      <c r="Z20" s="73" t="n">
        <f aca="false">0</f>
        <v>0</v>
      </c>
      <c r="AA20" s="73" t="n">
        <f aca="false">0</f>
        <v>0</v>
      </c>
      <c r="AB20" s="73" t="n">
        <f aca="false">0</f>
        <v>0</v>
      </c>
    </row>
    <row r="21" customFormat="false" ht="15" hidden="false" customHeight="false" outlineLevel="0" collapsed="false">
      <c r="A21" s="28" t="s">
        <v>813</v>
      </c>
      <c r="B21" s="62" t="s">
        <v>90</v>
      </c>
      <c r="C21" s="64" t="n">
        <f aca="false">SUM(E21:P21)</f>
        <v>40124.40735</v>
      </c>
      <c r="D21" s="64" t="n">
        <f aca="false">SUM(Q21:AB21)</f>
        <v>0</v>
      </c>
      <c r="E21" s="65" t="n">
        <f aca="false">IF(E$5="A",Inputs_Actuals!E20,Assumptions!$D$121*History!$C$99)</f>
        <v>9634.65</v>
      </c>
      <c r="F21" s="65" t="n">
        <f aca="false">IF(F$5="A",Inputs_Actuals!F20,Assumptions!$E$121*History!$C$99)</f>
        <v>7225.99</v>
      </c>
      <c r="G21" s="65" t="n">
        <f aca="false">IF(G$5="A",Inputs_Actuals!G20,Assumptions!$F$121*History!$C$99)</f>
        <v>5620.21</v>
      </c>
      <c r="H21" s="65" t="n">
        <f aca="false">IF(H$5="A",Inputs_Actuals!H20,Assumptions!$G$121*History!$C$99)</f>
        <v>4415.88</v>
      </c>
      <c r="I21" s="65" t="n">
        <f aca="false">IF(I$5="A",Inputs_Actuals!I20,Assumptions!$H$121*History!$C$99)</f>
        <v>3612.99</v>
      </c>
      <c r="J21" s="65" t="n">
        <f aca="false">IF(J$5="A",Inputs_Actuals!J20,Assumptions!$B$123*History!$C$99)</f>
        <v>2810.11</v>
      </c>
      <c r="K21" s="65" t="n">
        <f aca="false">IF(K$5="A",Inputs_Actuals!K20,Assumptions!$C$123*History!$C$99)</f>
        <v>2248.09</v>
      </c>
      <c r="L21" s="65" t="n">
        <f aca="false">IF(L$5="A",Inputs_Actuals!L20,Assumptions!$D$123*History!$C$99)</f>
        <v>1766.35</v>
      </c>
      <c r="M21" s="65" t="n">
        <f aca="false">IF(M$5="A",Inputs_Actuals!M20,Assumptions!$E$123*History!$C$99)</f>
        <v>1434.92778</v>
      </c>
      <c r="N21" s="65" t="n">
        <f aca="false">IF(N$5="A",Inputs_Actuals!N20,Assumptions!$F$123*History!$C$99)</f>
        <v>1355.20957</v>
      </c>
      <c r="O21" s="73" t="n">
        <f aca="false">0</f>
        <v>0</v>
      </c>
      <c r="P21" s="73" t="n">
        <f aca="false">0</f>
        <v>0</v>
      </c>
      <c r="Q21" s="73" t="n">
        <f aca="false">0</f>
        <v>0</v>
      </c>
      <c r="R21" s="73" t="n">
        <f aca="false">0</f>
        <v>0</v>
      </c>
      <c r="S21" s="73" t="n">
        <f aca="false">0</f>
        <v>0</v>
      </c>
      <c r="T21" s="73" t="n">
        <f aca="false">0</f>
        <v>0</v>
      </c>
      <c r="U21" s="73" t="n">
        <f aca="false">0</f>
        <v>0</v>
      </c>
      <c r="V21" s="73" t="n">
        <f aca="false">0</f>
        <v>0</v>
      </c>
      <c r="W21" s="73" t="n">
        <f aca="false">0</f>
        <v>0</v>
      </c>
      <c r="X21" s="73" t="n">
        <f aca="false">0</f>
        <v>0</v>
      </c>
      <c r="Y21" s="73" t="n">
        <f aca="false">0</f>
        <v>0</v>
      </c>
      <c r="Z21" s="73" t="n">
        <f aca="false">0</f>
        <v>0</v>
      </c>
      <c r="AA21" s="73" t="n">
        <f aca="false">0</f>
        <v>0</v>
      </c>
      <c r="AB21" s="73" t="n">
        <f aca="false">0</f>
        <v>0</v>
      </c>
    </row>
    <row r="22" customFormat="false" ht="15" hidden="false" customHeight="false" outlineLevel="0" collapsed="false">
      <c r="A22" s="28" t="s">
        <v>814</v>
      </c>
      <c r="B22" s="62" t="s">
        <v>90</v>
      </c>
      <c r="C22" s="64" t="n">
        <f aca="false">SUM(E22:P22)</f>
        <v>55395.85806</v>
      </c>
      <c r="D22" s="64" t="n">
        <f aca="false">SUM(Q22:AB22)</f>
        <v>0</v>
      </c>
      <c r="E22" s="65" t="n">
        <f aca="false">IF(E$5="A",Inputs_Actuals!E21,Assumptions!$C$121*History!$C$100)</f>
        <v>14133.99</v>
      </c>
      <c r="F22" s="65" t="n">
        <f aca="false">IF(F$5="A",Inputs_Actuals!F21,Assumptions!$D$121*History!$C$100)</f>
        <v>9976.93</v>
      </c>
      <c r="G22" s="65" t="n">
        <f aca="false">IF(G$5="A",Inputs_Actuals!G21,Assumptions!$E$121*History!$C$100)</f>
        <v>7482.7</v>
      </c>
      <c r="H22" s="65" t="n">
        <f aca="false">IF(H$5="A",Inputs_Actuals!H21,Assumptions!$F$121*History!$C$100)</f>
        <v>5819.88</v>
      </c>
      <c r="I22" s="65" t="n">
        <f aca="false">IF(I$5="A",Inputs_Actuals!I21,Assumptions!$G$121*History!$C$100)</f>
        <v>4572.76</v>
      </c>
      <c r="J22" s="65" t="n">
        <f aca="false">IF(J$5="A",Inputs_Actuals!J21,Assumptions!$H$121*History!$C$100)</f>
        <v>3741.35</v>
      </c>
      <c r="K22" s="65" t="n">
        <f aca="false">IF(K$5="A",Inputs_Actuals!K21,Assumptions!$B$123*History!$C$100)</f>
        <v>2909.94</v>
      </c>
      <c r="L22" s="65" t="n">
        <f aca="false">IF(L$5="A",Inputs_Actuals!L21,Assumptions!$C$123*History!$C$100)</f>
        <v>2327.95</v>
      </c>
      <c r="M22" s="65" t="n">
        <f aca="false">IF(M$5="A",Inputs_Actuals!M21,Assumptions!$D$123*History!$C$100)</f>
        <v>1709.96276</v>
      </c>
      <c r="N22" s="65" t="n">
        <f aca="false">IF(N$5="A",Inputs_Actuals!N21,Assumptions!$E$123*History!$C$100)</f>
        <v>1399.06044</v>
      </c>
      <c r="O22" s="65" t="n">
        <f aca="false">IF(O$5="A",Inputs_Actuals!O21,Assumptions!$F$123*History!$C$100)</f>
        <v>1321.33486</v>
      </c>
      <c r="P22" s="73" t="n">
        <f aca="false">0</f>
        <v>0</v>
      </c>
      <c r="Q22" s="73" t="n">
        <f aca="false">0</f>
        <v>0</v>
      </c>
      <c r="R22" s="73" t="n">
        <f aca="false">0</f>
        <v>0</v>
      </c>
      <c r="S22" s="73" t="n">
        <f aca="false">0</f>
        <v>0</v>
      </c>
      <c r="T22" s="73" t="n">
        <f aca="false">0</f>
        <v>0</v>
      </c>
      <c r="U22" s="73" t="n">
        <f aca="false">0</f>
        <v>0</v>
      </c>
      <c r="V22" s="73" t="n">
        <f aca="false">0</f>
        <v>0</v>
      </c>
      <c r="W22" s="73" t="n">
        <f aca="false">0</f>
        <v>0</v>
      </c>
      <c r="X22" s="73" t="n">
        <f aca="false">0</f>
        <v>0</v>
      </c>
      <c r="Y22" s="73" t="n">
        <f aca="false">0</f>
        <v>0</v>
      </c>
      <c r="Z22" s="73" t="n">
        <f aca="false">0</f>
        <v>0</v>
      </c>
      <c r="AA22" s="73" t="n">
        <f aca="false">0</f>
        <v>0</v>
      </c>
      <c r="AB22" s="73" t="n">
        <f aca="false">0</f>
        <v>0</v>
      </c>
    </row>
    <row r="23" customFormat="false" ht="15" hidden="false" customHeight="false" outlineLevel="0" collapsed="false">
      <c r="A23" s="28" t="s">
        <v>815</v>
      </c>
      <c r="B23" s="62"/>
      <c r="C23" s="64" t="n">
        <f aca="false">SUM(E23:P23)</f>
        <v>65621.0621</v>
      </c>
      <c r="D23" s="64" t="n">
        <f aca="false">SUM(Q23:AB23)</f>
        <v>0</v>
      </c>
      <c r="E23" s="65" t="n">
        <f aca="false">IF(E$5="A",Inputs_Actuals!E22,Assumptions!$B$121*E9)</f>
        <v>15601.13</v>
      </c>
      <c r="F23" s="65" t="n">
        <f aca="false">IF(F$5="A",Inputs_Actuals!F22,Assumptions!$C$121*E9)</f>
        <v>12629.48</v>
      </c>
      <c r="G23" s="65" t="n">
        <f aca="false">IF(G$5="A",Inputs_Actuals!G22,Assumptions!$D$121*E9)</f>
        <v>8914.93</v>
      </c>
      <c r="H23" s="65" t="n">
        <f aca="false">IF(H$5="A",Inputs_Actuals!H22,Assumptions!$E$121*E9)</f>
        <v>6686.2</v>
      </c>
      <c r="I23" s="65" t="n">
        <f aca="false">IF(I$5="A",Inputs_Actuals!I22,Assumptions!$F$121*E9)</f>
        <v>5200.38</v>
      </c>
      <c r="J23" s="65" t="n">
        <f aca="false">IF(J$5="A",Inputs_Actuals!J22,Assumptions!$G$121*E9)</f>
        <v>4086.01</v>
      </c>
      <c r="K23" s="65" t="n">
        <f aca="false">IF(K$5="A",Inputs_Actuals!K22,Assumptions!$H$121*E9)</f>
        <v>3343.1</v>
      </c>
      <c r="L23" s="65" t="n">
        <f aca="false">IF(L$5="A",Inputs_Actuals!L22,Assumptions!$B$123*E9)</f>
        <v>2600.19</v>
      </c>
      <c r="M23" s="65" t="n">
        <f aca="false">IF(M$5="A",Inputs_Actuals!M22,Assumptions!$C$123*E9)</f>
        <v>2160.82328</v>
      </c>
      <c r="N23" s="65" t="n">
        <f aca="false">IF(N$5="A",Inputs_Actuals!N22,Assumptions!$D$123*E9)</f>
        <v>1697.78972</v>
      </c>
      <c r="O23" s="65" t="n">
        <f aca="false">IF(O$5="A",Inputs_Actuals!O22,Assumptions!$E$123*E9)</f>
        <v>1389.10068</v>
      </c>
      <c r="P23" s="65" t="n">
        <f aca="false">IF(P$5="A",Inputs_Actuals!P22,Assumptions!$F$123*E9)</f>
        <v>1311.92842</v>
      </c>
      <c r="Q23" s="73" t="n">
        <f aca="false">0</f>
        <v>0</v>
      </c>
      <c r="R23" s="73" t="n">
        <f aca="false">0</f>
        <v>0</v>
      </c>
      <c r="S23" s="73" t="n">
        <f aca="false">0</f>
        <v>0</v>
      </c>
      <c r="T23" s="73" t="n">
        <f aca="false">0</f>
        <v>0</v>
      </c>
      <c r="U23" s="73" t="n">
        <f aca="false">0</f>
        <v>0</v>
      </c>
      <c r="V23" s="73" t="n">
        <f aca="false">0</f>
        <v>0</v>
      </c>
      <c r="W23" s="73" t="n">
        <f aca="false">0</f>
        <v>0</v>
      </c>
      <c r="X23" s="73" t="n">
        <f aca="false">0</f>
        <v>0</v>
      </c>
      <c r="Y23" s="73" t="n">
        <f aca="false">0</f>
        <v>0</v>
      </c>
      <c r="Z23" s="73" t="n">
        <f aca="false">0</f>
        <v>0</v>
      </c>
      <c r="AA23" s="73" t="n">
        <f aca="false">0</f>
        <v>0</v>
      </c>
      <c r="AB23" s="73" t="n">
        <f aca="false">0</f>
        <v>0</v>
      </c>
    </row>
    <row r="24" customFormat="false" ht="15" hidden="false" customHeight="false" outlineLevel="0" collapsed="false">
      <c r="A24" s="28" t="s">
        <v>816</v>
      </c>
      <c r="B24" s="62"/>
      <c r="C24" s="64" t="n">
        <f aca="false">SUM(E24:P24)</f>
        <v>78783.55108</v>
      </c>
      <c r="D24" s="64" t="n">
        <f aca="false">SUM(Q24:AB24)</f>
        <v>1538.47212</v>
      </c>
      <c r="E24" s="73" t="n">
        <f aca="false">0</f>
        <v>0</v>
      </c>
      <c r="F24" s="65" t="n">
        <f aca="false">IF(F$5="A",Inputs_Actuals!F23,Assumptions!$B$121*F9)</f>
        <v>19193.51</v>
      </c>
      <c r="G24" s="65" t="n">
        <f aca="false">IF(G$5="A",Inputs_Actuals!G23,Assumptions!$C$121*F9)</f>
        <v>15537.6</v>
      </c>
      <c r="H24" s="65" t="n">
        <f aca="false">IF(H$5="A",Inputs_Actuals!H23,Assumptions!$D$121*F9)</f>
        <v>10967.72</v>
      </c>
      <c r="I24" s="65" t="n">
        <f aca="false">IF(I$5="A",Inputs_Actuals!I23,Assumptions!$E$121*F9)</f>
        <v>8225.79</v>
      </c>
      <c r="J24" s="65" t="n">
        <f aca="false">IF(J$5="A",Inputs_Actuals!J23,Assumptions!$F$121*F9)</f>
        <v>6397.84</v>
      </c>
      <c r="K24" s="65" t="n">
        <f aca="false">IF(K$5="A",Inputs_Actuals!K23,Assumptions!$G$121*F9)</f>
        <v>5026.87</v>
      </c>
      <c r="L24" s="65" t="n">
        <f aca="false">IF(L$5="A",Inputs_Actuals!L23,Assumptions!$H$121*F9)</f>
        <v>4112.89</v>
      </c>
      <c r="M24" s="65" t="n">
        <f aca="false">IF(M$5="A",Inputs_Actuals!M23,Assumptions!$B$123*F9)</f>
        <v>3167.4426</v>
      </c>
      <c r="N24" s="65" t="n">
        <f aca="false">IF(N$5="A",Inputs_Actuals!N23,Assumptions!$C$123*F9)</f>
        <v>2533.95408</v>
      </c>
      <c r="O24" s="65" t="n">
        <f aca="false">IF(O$5="A",Inputs_Actuals!O23,Assumptions!$D$123*F9)</f>
        <v>1990.96392</v>
      </c>
      <c r="P24" s="65" t="n">
        <f aca="false">IF(P$5="A",Inputs_Actuals!P23,Assumptions!$E$123*F9)</f>
        <v>1628.97048</v>
      </c>
      <c r="Q24" s="65" t="n">
        <f aca="false">IF(Q$5="A",Inputs_Actuals!Q23,Assumptions!$F$123*F9)</f>
        <v>1538.47212</v>
      </c>
      <c r="R24" s="73" t="n">
        <f aca="false">0</f>
        <v>0</v>
      </c>
      <c r="S24" s="73" t="n">
        <f aca="false">0</f>
        <v>0</v>
      </c>
      <c r="T24" s="73" t="n">
        <f aca="false">0</f>
        <v>0</v>
      </c>
      <c r="U24" s="73" t="n">
        <f aca="false">0</f>
        <v>0</v>
      </c>
      <c r="V24" s="73" t="n">
        <f aca="false">0</f>
        <v>0</v>
      </c>
      <c r="W24" s="73" t="n">
        <f aca="false">0</f>
        <v>0</v>
      </c>
      <c r="X24" s="73" t="n">
        <f aca="false">0</f>
        <v>0</v>
      </c>
      <c r="Y24" s="73" t="n">
        <f aca="false">0</f>
        <v>0</v>
      </c>
      <c r="Z24" s="73" t="n">
        <f aca="false">0</f>
        <v>0</v>
      </c>
      <c r="AA24" s="73" t="n">
        <f aca="false">0</f>
        <v>0</v>
      </c>
      <c r="AB24" s="73" t="n">
        <f aca="false">0</f>
        <v>0</v>
      </c>
    </row>
    <row r="25" customFormat="false" ht="15" hidden="false" customHeight="false" outlineLevel="0" collapsed="false">
      <c r="A25" s="28" t="s">
        <v>817</v>
      </c>
      <c r="B25" s="62"/>
      <c r="C25" s="64" t="n">
        <f aca="false">SUM(E25:P25)</f>
        <v>77894.531</v>
      </c>
      <c r="D25" s="64" t="n">
        <f aca="false">SUM(Q25:AB25)</f>
        <v>3251.1745</v>
      </c>
      <c r="E25" s="73" t="n">
        <f aca="false">0</f>
        <v>0</v>
      </c>
      <c r="F25" s="73" t="n">
        <f aca="false">0</f>
        <v>0</v>
      </c>
      <c r="G25" s="65" t="n">
        <f aca="false">IF(G$5="A",Inputs_Actuals!G24,Assumptions!$B$121*G9)</f>
        <v>19331.38</v>
      </c>
      <c r="H25" s="65" t="n">
        <f aca="false">IF(H$5="A",Inputs_Actuals!H24,Assumptions!$C$121*G9)</f>
        <v>15649.21</v>
      </c>
      <c r="I25" s="65" t="n">
        <f aca="false">IF(I$5="A",Inputs_Actuals!I24,Assumptions!$D$121*G9)</f>
        <v>11046.5</v>
      </c>
      <c r="J25" s="65" t="n">
        <f aca="false">IF(J$5="A",Inputs_Actuals!J24,Assumptions!$E$121*G9)</f>
        <v>8284.88</v>
      </c>
      <c r="K25" s="65" t="n">
        <f aca="false">IF(K$5="A",Inputs_Actuals!K24,Assumptions!$F$121*G9)</f>
        <v>6443.79</v>
      </c>
      <c r="L25" s="65" t="n">
        <f aca="false">IF(L$5="A",Inputs_Actuals!L24,Assumptions!$G$121*G9)</f>
        <v>5062.98</v>
      </c>
      <c r="M25" s="65" t="n">
        <f aca="false">IF(M$5="A",Inputs_Actuals!M24,Assumptions!$H$121*G9)</f>
        <v>4180.0815</v>
      </c>
      <c r="N25" s="65" t="n">
        <f aca="false">IF(N$5="A",Inputs_Actuals!N24,Assumptions!$B$123*G9)</f>
        <v>3251.1745</v>
      </c>
      <c r="O25" s="65" t="n">
        <f aca="false">IF(O$5="A",Inputs_Actuals!O24,Assumptions!$C$123*G9)</f>
        <v>2600.9396</v>
      </c>
      <c r="P25" s="65" t="n">
        <f aca="false">IF(P$5="A",Inputs_Actuals!P24,Assumptions!$D$123*G9)</f>
        <v>2043.5954</v>
      </c>
      <c r="Q25" s="65" t="n">
        <f aca="false">IF(Q$5="A",Inputs_Actuals!Q24,Assumptions!$E$123*G9)</f>
        <v>1672.0326</v>
      </c>
      <c r="R25" s="65" t="n">
        <f aca="false">IF(R$5="A",Inputs_Actuals!R24,Assumptions!$F$123*G9)</f>
        <v>1579.1419</v>
      </c>
      <c r="S25" s="73" t="n">
        <f aca="false">0</f>
        <v>0</v>
      </c>
      <c r="T25" s="73" t="n">
        <f aca="false">0</f>
        <v>0</v>
      </c>
      <c r="U25" s="73" t="n">
        <f aca="false">0</f>
        <v>0</v>
      </c>
      <c r="V25" s="73" t="n">
        <f aca="false">0</f>
        <v>0</v>
      </c>
      <c r="W25" s="73" t="n">
        <f aca="false">0</f>
        <v>0</v>
      </c>
      <c r="X25" s="73" t="n">
        <f aca="false">0</f>
        <v>0</v>
      </c>
      <c r="Y25" s="73" t="n">
        <f aca="false">0</f>
        <v>0</v>
      </c>
      <c r="Z25" s="73" t="n">
        <f aca="false">0</f>
        <v>0</v>
      </c>
      <c r="AA25" s="73" t="n">
        <f aca="false">0</f>
        <v>0</v>
      </c>
      <c r="AB25" s="73" t="n">
        <f aca="false">0</f>
        <v>0</v>
      </c>
    </row>
    <row r="26" customFormat="false" ht="15" hidden="false" customHeight="false" outlineLevel="0" collapsed="false">
      <c r="A26" s="28" t="s">
        <v>818</v>
      </c>
      <c r="B26" s="62"/>
      <c r="C26" s="64" t="n">
        <f aca="false">SUM(E26:P26)</f>
        <v>70721.7377</v>
      </c>
      <c r="D26" s="64" t="n">
        <f aca="false">SUM(Q26:AB26)</f>
        <v>4882.5003</v>
      </c>
      <c r="E26" s="73" t="n">
        <f aca="false">0</f>
        <v>0</v>
      </c>
      <c r="F26" s="73" t="n">
        <f aca="false">0</f>
        <v>0</v>
      </c>
      <c r="G26" s="73" t="n">
        <f aca="false">0</f>
        <v>0</v>
      </c>
      <c r="H26" s="65" t="n">
        <f aca="false">IF(H$5="A",Inputs_Actuals!H25,Assumptions!$B$121*H9)</f>
        <v>18059.84</v>
      </c>
      <c r="I26" s="65" t="n">
        <f aca="false">IF(I$5="A",Inputs_Actuals!I25,Assumptions!$C$121*H9)</f>
        <v>14619.87</v>
      </c>
      <c r="J26" s="65" t="n">
        <f aca="false">IF(J$5="A",Inputs_Actuals!J25,Assumptions!$D$121*H9)</f>
        <v>10319.91</v>
      </c>
      <c r="K26" s="65" t="n">
        <f aca="false">IF(K$5="A",Inputs_Actuals!K25,Assumptions!$E$121*H9)</f>
        <v>7739.93</v>
      </c>
      <c r="L26" s="65" t="n">
        <f aca="false">IF(L$5="A",Inputs_Actuals!L25,Assumptions!$F$121*H9)</f>
        <v>6019.95</v>
      </c>
      <c r="M26" s="65" t="n">
        <f aca="false">IF(M$5="A",Inputs_Actuals!M25,Assumptions!$G$121*H9)</f>
        <v>4711.1845</v>
      </c>
      <c r="N26" s="65" t="n">
        <f aca="false">IF(N$5="A",Inputs_Actuals!N25,Assumptions!$H$121*H9)</f>
        <v>3854.6055</v>
      </c>
      <c r="O26" s="65" t="n">
        <f aca="false">IF(O$5="A",Inputs_Actuals!O25,Assumptions!$B$123*H9)</f>
        <v>2998.0265</v>
      </c>
      <c r="P26" s="65" t="n">
        <f aca="false">IF(P$5="A",Inputs_Actuals!P25,Assumptions!$C$123*H9)</f>
        <v>2398.4212</v>
      </c>
      <c r="Q26" s="65" t="n">
        <f aca="false">IF(Q$5="A",Inputs_Actuals!Q25,Assumptions!$D$123*H9)</f>
        <v>1884.4738</v>
      </c>
      <c r="R26" s="65" t="n">
        <f aca="false">IF(R$5="A",Inputs_Actuals!R25,Assumptions!$E$123*H9)</f>
        <v>1541.8422</v>
      </c>
      <c r="S26" s="65" t="n">
        <f aca="false">IF(S$5="A",Inputs_Actuals!S25,Assumptions!$F$123*H9)</f>
        <v>1456.1843</v>
      </c>
      <c r="T26" s="73" t="n">
        <f aca="false">0</f>
        <v>0</v>
      </c>
      <c r="U26" s="73" t="n">
        <f aca="false">0</f>
        <v>0</v>
      </c>
      <c r="V26" s="73" t="n">
        <f aca="false">0</f>
        <v>0</v>
      </c>
      <c r="W26" s="73" t="n">
        <f aca="false">0</f>
        <v>0</v>
      </c>
      <c r="X26" s="73" t="n">
        <f aca="false">0</f>
        <v>0</v>
      </c>
      <c r="Y26" s="73" t="n">
        <f aca="false">0</f>
        <v>0</v>
      </c>
      <c r="Z26" s="73" t="n">
        <f aca="false">0</f>
        <v>0</v>
      </c>
      <c r="AA26" s="73" t="n">
        <f aca="false">0</f>
        <v>0</v>
      </c>
      <c r="AB26" s="73" t="n">
        <f aca="false">0</f>
        <v>0</v>
      </c>
    </row>
    <row r="27" customFormat="false" ht="15" hidden="false" customHeight="false" outlineLevel="0" collapsed="false">
      <c r="A27" s="28" t="s">
        <v>819</v>
      </c>
      <c r="B27" s="62"/>
      <c r="C27" s="64" t="n">
        <f aca="false">SUM(E27:P27)</f>
        <v>67514.41625</v>
      </c>
      <c r="D27" s="64" t="n">
        <f aca="false">SUM(Q27:AB27)</f>
        <v>7559.83625</v>
      </c>
      <c r="E27" s="73" t="n">
        <f aca="false">0</f>
        <v>0</v>
      </c>
      <c r="F27" s="73" t="n">
        <f aca="false">0</f>
        <v>0</v>
      </c>
      <c r="G27" s="73" t="n">
        <f aca="false">0</f>
        <v>0</v>
      </c>
      <c r="H27" s="73" t="n">
        <f aca="false">0</f>
        <v>0</v>
      </c>
      <c r="I27" s="65" t="n">
        <f aca="false">IF(I$5="A",Inputs_Actuals!I26,Assumptions!$B$121*I9)</f>
        <v>17541.01</v>
      </c>
      <c r="J27" s="65" t="n">
        <f aca="false">IF(J$5="A",Inputs_Actuals!J26,Assumptions!$C$121*I9)</f>
        <v>14199.86</v>
      </c>
      <c r="K27" s="65" t="n">
        <f aca="false">IF(K$5="A",Inputs_Actuals!K26,Assumptions!$D$121*I9)</f>
        <v>10023.43</v>
      </c>
      <c r="L27" s="65" t="n">
        <f aca="false">IF(L$5="A",Inputs_Actuals!L26,Assumptions!$E$121*I9)</f>
        <v>7517.57</v>
      </c>
      <c r="M27" s="65" t="n">
        <f aca="false">IF(M$5="A",Inputs_Actuals!M26,Assumptions!$F$121*I9)</f>
        <v>6225.7475</v>
      </c>
      <c r="N27" s="65" t="n">
        <f aca="false">IF(N$5="A",Inputs_Actuals!N26,Assumptions!$G$121*I9)</f>
        <v>4891.65875</v>
      </c>
      <c r="O27" s="65" t="n">
        <f aca="false">IF(O$5="A",Inputs_Actuals!O26,Assumptions!$H$121*I9)</f>
        <v>4002.26625</v>
      </c>
      <c r="P27" s="65" t="n">
        <f aca="false">IF(P$5="A",Inputs_Actuals!P26,Assumptions!$B$123*I9)</f>
        <v>3112.87375</v>
      </c>
      <c r="Q27" s="65" t="n">
        <f aca="false">IF(Q$5="A",Inputs_Actuals!Q26,Assumptions!$C$123*I9)</f>
        <v>2490.299</v>
      </c>
      <c r="R27" s="65" t="n">
        <f aca="false">IF(R$5="A",Inputs_Actuals!R26,Assumptions!$D$123*I9)</f>
        <v>1956.6635</v>
      </c>
      <c r="S27" s="65" t="n">
        <f aca="false">IF(S$5="A",Inputs_Actuals!S26,Assumptions!$E$123*I9)</f>
        <v>1600.9065</v>
      </c>
      <c r="T27" s="65" t="n">
        <f aca="false">IF(T$5="A",Inputs_Actuals!T26,Assumptions!$F$123*I9)</f>
        <v>1511.96725</v>
      </c>
      <c r="U27" s="73" t="n">
        <f aca="false">0</f>
        <v>0</v>
      </c>
      <c r="V27" s="73" t="n">
        <f aca="false">0</f>
        <v>0</v>
      </c>
      <c r="W27" s="73" t="n">
        <f aca="false">0</f>
        <v>0</v>
      </c>
      <c r="X27" s="73" t="n">
        <f aca="false">0</f>
        <v>0</v>
      </c>
      <c r="Y27" s="73" t="n">
        <f aca="false">0</f>
        <v>0</v>
      </c>
      <c r="Z27" s="73" t="n">
        <f aca="false">0</f>
        <v>0</v>
      </c>
      <c r="AA27" s="73" t="n">
        <f aca="false">0</f>
        <v>0</v>
      </c>
      <c r="AB27" s="73" t="n">
        <f aca="false">0</f>
        <v>0</v>
      </c>
    </row>
    <row r="28" customFormat="false" ht="15" hidden="false" customHeight="false" outlineLevel="0" collapsed="false">
      <c r="A28" s="28" t="s">
        <v>820</v>
      </c>
      <c r="B28" s="62"/>
      <c r="C28" s="64" t="n">
        <f aca="false">SUM(E28:P28)</f>
        <v>71380.8928</v>
      </c>
      <c r="D28" s="64" t="n">
        <f aca="false">SUM(Q28:AB28)</f>
        <v>10778.8536</v>
      </c>
      <c r="E28" s="73" t="n">
        <f aca="false">0</f>
        <v>0</v>
      </c>
      <c r="F28" s="73" t="n">
        <f aca="false">0</f>
        <v>0</v>
      </c>
      <c r="G28" s="73" t="n">
        <f aca="false">0</f>
        <v>0</v>
      </c>
      <c r="H28" s="73" t="n">
        <f aca="false">0</f>
        <v>0</v>
      </c>
      <c r="I28" s="73" t="n">
        <f aca="false">0</f>
        <v>0</v>
      </c>
      <c r="J28" s="65" t="n">
        <f aca="false">IF(J$5="A",Inputs_Actuals!J27,Assumptions!$B$121*J9)</f>
        <v>20171.22</v>
      </c>
      <c r="K28" s="65" t="n">
        <f aca="false">IF(K$5="A",Inputs_Actuals!K27,Assumptions!$C$121*J9)</f>
        <v>16329.08</v>
      </c>
      <c r="L28" s="65" t="n">
        <f aca="false">IF(L$5="A",Inputs_Actuals!L27,Assumptions!$D$121*J9)</f>
        <v>11526.41</v>
      </c>
      <c r="M28" s="65" t="n">
        <f aca="false">IF(M$5="A",Inputs_Actuals!M27,Assumptions!$E$121*J9)</f>
        <v>8084.1402</v>
      </c>
      <c r="N28" s="65" t="n">
        <f aca="false">IF(N$5="A",Inputs_Actuals!N27,Assumptions!$F$121*J9)</f>
        <v>6287.6646</v>
      </c>
      <c r="O28" s="65" t="n">
        <f aca="false">IF(O$5="A",Inputs_Actuals!O27,Assumptions!$G$121*J9)</f>
        <v>4940.3079</v>
      </c>
      <c r="P28" s="65" t="n">
        <f aca="false">IF(P$5="A",Inputs_Actuals!P27,Assumptions!$H$121*J9)</f>
        <v>4042.0701</v>
      </c>
      <c r="Q28" s="65" t="n">
        <f aca="false">IF(Q$5="A",Inputs_Actuals!Q27,Assumptions!$B$123*J9)</f>
        <v>3143.8323</v>
      </c>
      <c r="R28" s="65" t="n">
        <f aca="false">IF(R$5="A",Inputs_Actuals!R27,Assumptions!$C$123*J9)</f>
        <v>2515.06584</v>
      </c>
      <c r="S28" s="65" t="n">
        <f aca="false">IF(S$5="A",Inputs_Actuals!S27,Assumptions!$D$123*J9)</f>
        <v>1976.12316</v>
      </c>
      <c r="T28" s="65" t="n">
        <f aca="false">IF(T$5="A",Inputs_Actuals!T27,Assumptions!$E$123*J9)</f>
        <v>1616.82804</v>
      </c>
      <c r="U28" s="65" t="n">
        <f aca="false">IF(U$5="A",Inputs_Actuals!U27,Assumptions!$F$123*J9)</f>
        <v>1527.00426</v>
      </c>
      <c r="V28" s="73" t="n">
        <f aca="false">0</f>
        <v>0</v>
      </c>
      <c r="W28" s="73" t="n">
        <f aca="false">0</f>
        <v>0</v>
      </c>
      <c r="X28" s="73" t="n">
        <f aca="false">0</f>
        <v>0</v>
      </c>
      <c r="Y28" s="73" t="n">
        <f aca="false">0</f>
        <v>0</v>
      </c>
      <c r="Z28" s="73" t="n">
        <f aca="false">0</f>
        <v>0</v>
      </c>
      <c r="AA28" s="73" t="n">
        <f aca="false">0</f>
        <v>0</v>
      </c>
      <c r="AB28" s="73" t="n">
        <f aca="false">0</f>
        <v>0</v>
      </c>
    </row>
    <row r="29" customFormat="false" ht="15" hidden="false" customHeight="false" outlineLevel="0" collapsed="false">
      <c r="A29" s="28" t="s">
        <v>821</v>
      </c>
      <c r="B29" s="62"/>
      <c r="C29" s="64" t="n">
        <f aca="false">SUM(E29:P29)</f>
        <v>67029.1308</v>
      </c>
      <c r="D29" s="64" t="n">
        <f aca="false">SUM(Q29:AB29)</f>
        <v>15481.0392</v>
      </c>
      <c r="E29" s="73" t="n">
        <f aca="false">0</f>
        <v>0</v>
      </c>
      <c r="F29" s="73" t="n">
        <f aca="false">0</f>
        <v>0</v>
      </c>
      <c r="G29" s="73" t="n">
        <f aca="false">0</f>
        <v>0</v>
      </c>
      <c r="H29" s="73" t="n">
        <f aca="false">0</f>
        <v>0</v>
      </c>
      <c r="I29" s="73" t="n">
        <f aca="false">0</f>
        <v>0</v>
      </c>
      <c r="J29" s="73" t="n">
        <f aca="false">0</f>
        <v>0</v>
      </c>
      <c r="K29" s="65" t="n">
        <f aca="false">IF(K$5="A",Inputs_Actuals!K28,Assumptions!$B$121*K9)</f>
        <v>19672.54</v>
      </c>
      <c r="L29" s="65" t="n">
        <f aca="false">IF(L$5="A",Inputs_Actuals!L28,Assumptions!$C$121*K9)</f>
        <v>15925.39</v>
      </c>
      <c r="M29" s="65" t="n">
        <f aca="false">IF(M$5="A",Inputs_Actuals!M28,Assumptions!$D$121*K9)</f>
        <v>11258.9376</v>
      </c>
      <c r="N29" s="65" t="n">
        <f aca="false">IF(N$5="A",Inputs_Actuals!N28,Assumptions!$E$121*K9)</f>
        <v>8444.2032</v>
      </c>
      <c r="O29" s="65" t="n">
        <f aca="false">IF(O$5="A",Inputs_Actuals!O28,Assumptions!$F$121*K9)</f>
        <v>6567.7136</v>
      </c>
      <c r="P29" s="65" t="n">
        <f aca="false">IF(P$5="A",Inputs_Actuals!P28,Assumptions!$G$121*K9)</f>
        <v>5160.3464</v>
      </c>
      <c r="Q29" s="65" t="n">
        <f aca="false">IF(Q$5="A",Inputs_Actuals!Q28,Assumptions!$H$121*K9)</f>
        <v>4222.1016</v>
      </c>
      <c r="R29" s="65" t="n">
        <f aca="false">IF(R$5="A",Inputs_Actuals!R28,Assumptions!$B$123*K9)</f>
        <v>3283.8568</v>
      </c>
      <c r="S29" s="65" t="n">
        <f aca="false">IF(S$5="A",Inputs_Actuals!S28,Assumptions!$C$123*K9)</f>
        <v>2627.08544</v>
      </c>
      <c r="T29" s="65" t="n">
        <f aca="false">IF(T$5="A",Inputs_Actuals!T28,Assumptions!$D$123*K9)</f>
        <v>2064.13856</v>
      </c>
      <c r="U29" s="65" t="n">
        <f aca="false">IF(U$5="A",Inputs_Actuals!U28,Assumptions!$E$123*K9)</f>
        <v>1688.84064</v>
      </c>
      <c r="V29" s="65" t="n">
        <f aca="false">IF(V$5="A",Inputs_Actuals!V28,Assumptions!$F$123*K9)</f>
        <v>1595.01616</v>
      </c>
      <c r="W29" s="73" t="n">
        <f aca="false">0</f>
        <v>0</v>
      </c>
      <c r="X29" s="73" t="n">
        <f aca="false">0</f>
        <v>0</v>
      </c>
      <c r="Y29" s="73" t="n">
        <f aca="false">0</f>
        <v>0</v>
      </c>
      <c r="Z29" s="73" t="n">
        <f aca="false">0</f>
        <v>0</v>
      </c>
      <c r="AA29" s="73" t="n">
        <f aca="false">0</f>
        <v>0</v>
      </c>
      <c r="AB29" s="73" t="n">
        <f aca="false">0</f>
        <v>0</v>
      </c>
    </row>
    <row r="30" customFormat="false" ht="15" hidden="false" customHeight="false" outlineLevel="0" collapsed="false">
      <c r="A30" s="28" t="s">
        <v>822</v>
      </c>
      <c r="B30" s="62"/>
      <c r="C30" s="64" t="n">
        <f aca="false">SUM(E30:P30)</f>
        <v>57753.3015</v>
      </c>
      <c r="D30" s="64" t="n">
        <f aca="false">SUM(Q30:AB30)</f>
        <v>19195.0594</v>
      </c>
      <c r="E30" s="73" t="n">
        <f aca="false">0</f>
        <v>0</v>
      </c>
      <c r="F30" s="73" t="n">
        <f aca="false">0</f>
        <v>0</v>
      </c>
      <c r="G30" s="73" t="n">
        <f aca="false">0</f>
        <v>0</v>
      </c>
      <c r="H30" s="73" t="n">
        <f aca="false">0</f>
        <v>0</v>
      </c>
      <c r="I30" s="73" t="n">
        <f aca="false">0</f>
        <v>0</v>
      </c>
      <c r="J30" s="73" t="n">
        <f aca="false">0</f>
        <v>0</v>
      </c>
      <c r="K30" s="73" t="n">
        <f aca="false">0</f>
        <v>0</v>
      </c>
      <c r="L30" s="65" t="n">
        <f aca="false">IF(L$5="A",Inputs_Actuals!L29,Assumptions!$B$121*L9)</f>
        <v>18490.68</v>
      </c>
      <c r="M30" s="65" t="n">
        <f aca="false">IF(M$5="A",Inputs_Actuals!M29,Assumptions!$C$121*L9)</f>
        <v>14832.5459</v>
      </c>
      <c r="N30" s="65" t="n">
        <f aca="false">IF(N$5="A",Inputs_Actuals!N29,Assumptions!$D$121*L9)</f>
        <v>10470.0324</v>
      </c>
      <c r="O30" s="65" t="n">
        <f aca="false">IF(O$5="A",Inputs_Actuals!O29,Assumptions!$E$121*L9)</f>
        <v>7852.5243</v>
      </c>
      <c r="P30" s="65" t="n">
        <f aca="false">IF(P$5="A",Inputs_Actuals!P29,Assumptions!$F$121*L9)</f>
        <v>6107.5189</v>
      </c>
      <c r="Q30" s="65" t="n">
        <f aca="false">IF(Q$5="A",Inputs_Actuals!Q29,Assumptions!$G$121*L9)</f>
        <v>4798.76485</v>
      </c>
      <c r="R30" s="65" t="n">
        <f aca="false">IF(R$5="A",Inputs_Actuals!R29,Assumptions!$H$121*L9)</f>
        <v>3926.26215</v>
      </c>
      <c r="S30" s="65" t="n">
        <f aca="false">IF(S$5="A",Inputs_Actuals!S29,Assumptions!$B$123*L9)</f>
        <v>3053.75945</v>
      </c>
      <c r="T30" s="65" t="n">
        <f aca="false">IF(T$5="A",Inputs_Actuals!T29,Assumptions!$C$123*L9)</f>
        <v>2443.00756</v>
      </c>
      <c r="U30" s="65" t="n">
        <f aca="false">IF(U$5="A",Inputs_Actuals!U29,Assumptions!$D$123*L9)</f>
        <v>1919.50594</v>
      </c>
      <c r="V30" s="65" t="n">
        <f aca="false">IF(V$5="A",Inputs_Actuals!V29,Assumptions!$E$123*L9)</f>
        <v>1570.50486</v>
      </c>
      <c r="W30" s="65" t="n">
        <f aca="false">IF(W$5="A",Inputs_Actuals!W29,Assumptions!$F$123*L9)</f>
        <v>1483.25459</v>
      </c>
      <c r="X30" s="73" t="n">
        <f aca="false">0</f>
        <v>0</v>
      </c>
      <c r="Y30" s="73" t="n">
        <f aca="false">0</f>
        <v>0</v>
      </c>
      <c r="Z30" s="73" t="n">
        <f aca="false">0</f>
        <v>0</v>
      </c>
      <c r="AA30" s="73" t="n">
        <f aca="false">0</f>
        <v>0</v>
      </c>
      <c r="AB30" s="73" t="n">
        <f aca="false">0</f>
        <v>0</v>
      </c>
    </row>
    <row r="31" customFormat="false" ht="15" hidden="false" customHeight="false" outlineLevel="0" collapsed="false">
      <c r="A31" s="28" t="s">
        <v>823</v>
      </c>
      <c r="B31" s="62"/>
      <c r="C31" s="64" t="n">
        <f aca="false">SUM(E31:P31)</f>
        <v>63854.4148108669</v>
      </c>
      <c r="D31" s="64" t="n">
        <f aca="false">SUM(Q31:AB31)</f>
        <v>31386.0682968668</v>
      </c>
      <c r="E31" s="73" t="n">
        <f aca="false">0</f>
        <v>0</v>
      </c>
      <c r="F31" s="73" t="n">
        <f aca="false">0</f>
        <v>0</v>
      </c>
      <c r="G31" s="73" t="n">
        <f aca="false">0</f>
        <v>0</v>
      </c>
      <c r="H31" s="73" t="n">
        <f aca="false">0</f>
        <v>0</v>
      </c>
      <c r="I31" s="73" t="n">
        <f aca="false">0</f>
        <v>0</v>
      </c>
      <c r="J31" s="73" t="n">
        <f aca="false">0</f>
        <v>0</v>
      </c>
      <c r="K31" s="73" t="n">
        <f aca="false">0</f>
        <v>0</v>
      </c>
      <c r="L31" s="73" t="n">
        <f aca="false">0</f>
        <v>0</v>
      </c>
      <c r="M31" s="65" t="n">
        <f aca="false">Assumptions!$B$121*M9</f>
        <v>22727.8425598001</v>
      </c>
      <c r="N31" s="65" t="n">
        <f aca="false">Assumptions!$C$121*M9</f>
        <v>18398.7296912667</v>
      </c>
      <c r="O31" s="65" t="n">
        <f aca="false">Assumptions!$D$121*M9</f>
        <v>12987.3386056</v>
      </c>
      <c r="P31" s="65" t="n">
        <f aca="false">Assumptions!$E$121*M9</f>
        <v>9740.50395420003</v>
      </c>
      <c r="Q31" s="65" t="n">
        <f aca="false">Assumptions!$F$121*M9</f>
        <v>7575.94751993336</v>
      </c>
      <c r="R31" s="65" t="n">
        <f aca="false">Assumptions!$G$121*M9</f>
        <v>5952.53019423335</v>
      </c>
      <c r="S31" s="65" t="n">
        <f aca="false">Assumptions!$H$121*M9</f>
        <v>4870.25197710001</v>
      </c>
      <c r="T31" s="65" t="n">
        <f aca="false">Assumptions!$B$123*M9</f>
        <v>3787.97375996668</v>
      </c>
      <c r="U31" s="65" t="n">
        <f aca="false">Assumptions!$C$123*M9</f>
        <v>3030.37900797334</v>
      </c>
      <c r="V31" s="65" t="n">
        <f aca="false">Assumptions!$D$123*M9</f>
        <v>2381.01207769334</v>
      </c>
      <c r="W31" s="65" t="n">
        <f aca="false">Assumptions!$E$123*M9</f>
        <v>1948.10079084001</v>
      </c>
      <c r="X31" s="65" t="n">
        <f aca="false">Assumptions!$F$123*M9</f>
        <v>1839.87296912667</v>
      </c>
      <c r="Y31" s="73" t="n">
        <f aca="false">0</f>
        <v>0</v>
      </c>
      <c r="Z31" s="73" t="n">
        <f aca="false">0</f>
        <v>0</v>
      </c>
      <c r="AA31" s="73" t="n">
        <f aca="false">0</f>
        <v>0</v>
      </c>
      <c r="AB31" s="73" t="n">
        <f aca="false">0</f>
        <v>0</v>
      </c>
    </row>
    <row r="32" customFormat="false" ht="15" hidden="false" customHeight="false" outlineLevel="0" collapsed="false">
      <c r="A32" s="28" t="s">
        <v>824</v>
      </c>
      <c r="B32" s="62"/>
      <c r="C32" s="64" t="n">
        <f aca="false">SUM(E32:P32)</f>
        <v>56251.0471359303</v>
      </c>
      <c r="D32" s="64" t="n">
        <f aca="false">SUM(Q32:AB32)</f>
        <v>42750.7958233071</v>
      </c>
      <c r="E32" s="73" t="n">
        <f aca="false">0</f>
        <v>0</v>
      </c>
      <c r="F32" s="73" t="n">
        <f aca="false">0</f>
        <v>0</v>
      </c>
      <c r="G32" s="73" t="n">
        <f aca="false">0</f>
        <v>0</v>
      </c>
      <c r="H32" s="73" t="n">
        <f aca="false">0</f>
        <v>0</v>
      </c>
      <c r="I32" s="73" t="n">
        <f aca="false">0</f>
        <v>0</v>
      </c>
      <c r="J32" s="73" t="n">
        <f aca="false">0</f>
        <v>0</v>
      </c>
      <c r="K32" s="73" t="n">
        <f aca="false">0</f>
        <v>0</v>
      </c>
      <c r="L32" s="73" t="n">
        <f aca="false">0</f>
        <v>0</v>
      </c>
      <c r="M32" s="73" t="n">
        <f aca="false">0</f>
        <v>0</v>
      </c>
      <c r="N32" s="65" t="n">
        <f aca="false">Assumptions!$B$121*N9</f>
        <v>23625.4397970907</v>
      </c>
      <c r="O32" s="65" t="n">
        <f aca="false">Assumptions!$C$121*N9</f>
        <v>19125.3560262163</v>
      </c>
      <c r="P32" s="65" t="n">
        <f aca="false">Assumptions!$D$121*N9</f>
        <v>13500.2513126233</v>
      </c>
      <c r="Q32" s="65" t="n">
        <f aca="false">Assumptions!$E$121*N9</f>
        <v>10125.1884844675</v>
      </c>
      <c r="R32" s="65" t="n">
        <f aca="false">Assumptions!$F$121*N9</f>
        <v>7875.14659903025</v>
      </c>
      <c r="S32" s="65" t="n">
        <f aca="false">Assumptions!$G$121*N9</f>
        <v>6187.61518495234</v>
      </c>
      <c r="T32" s="65" t="n">
        <f aca="false">Assumptions!$H$121*N9</f>
        <v>5062.59424223373</v>
      </c>
      <c r="U32" s="65" t="n">
        <f aca="false">Assumptions!$B$123*N9</f>
        <v>3937.57329951512</v>
      </c>
      <c r="V32" s="65" t="n">
        <f aca="false">Assumptions!$C$123*N9</f>
        <v>3150.0586396121</v>
      </c>
      <c r="W32" s="65" t="n">
        <f aca="false">Assumptions!$D$123*N9</f>
        <v>2475.04607398094</v>
      </c>
      <c r="X32" s="65" t="n">
        <f aca="false">Assumptions!$E$123*N9</f>
        <v>2025.03769689349</v>
      </c>
      <c r="Y32" s="65" t="n">
        <f aca="false">Assumptions!$F$123*N9</f>
        <v>1912.53560262163</v>
      </c>
      <c r="Z32" s="73" t="n">
        <f aca="false">0</f>
        <v>0</v>
      </c>
      <c r="AA32" s="73" t="n">
        <f aca="false">0</f>
        <v>0</v>
      </c>
      <c r="AB32" s="73" t="n">
        <f aca="false">0</f>
        <v>0</v>
      </c>
    </row>
    <row r="33" customFormat="false" ht="15" hidden="false" customHeight="false" outlineLevel="0" collapsed="false">
      <c r="A33" s="28" t="s">
        <v>825</v>
      </c>
      <c r="B33" s="62"/>
      <c r="C33" s="64" t="n">
        <f aca="false">SUM(E33:P33)</f>
        <v>43020.9241459439</v>
      </c>
      <c r="D33" s="64" t="n">
        <f aca="false">SUM(Q33:AB33)</f>
        <v>56606.4791393999</v>
      </c>
      <c r="E33" s="73" t="n">
        <f aca="false">0</f>
        <v>0</v>
      </c>
      <c r="F33" s="73" t="n">
        <f aca="false">0</f>
        <v>0</v>
      </c>
      <c r="G33" s="73" t="n">
        <f aca="false">0</f>
        <v>0</v>
      </c>
      <c r="H33" s="73" t="n">
        <f aca="false">0</f>
        <v>0</v>
      </c>
      <c r="I33" s="73" t="n">
        <f aca="false">0</f>
        <v>0</v>
      </c>
      <c r="J33" s="73" t="n">
        <f aca="false">0</f>
        <v>0</v>
      </c>
      <c r="K33" s="73" t="n">
        <f aca="false">0</f>
        <v>0</v>
      </c>
      <c r="L33" s="73" t="n">
        <f aca="false">0</f>
        <v>0</v>
      </c>
      <c r="M33" s="73" t="n">
        <f aca="false">0</f>
        <v>0</v>
      </c>
      <c r="N33" s="73" t="n">
        <f aca="false">0</f>
        <v>0</v>
      </c>
      <c r="O33" s="65" t="n">
        <f aca="false">Assumptions!$B$121*O9</f>
        <v>23774.721238548</v>
      </c>
      <c r="P33" s="65" t="n">
        <f aca="false">Assumptions!$C$121*O9</f>
        <v>19246.202907396</v>
      </c>
      <c r="Q33" s="65" t="n">
        <f aca="false">Assumptions!$D$121*O9</f>
        <v>13585.554993456</v>
      </c>
      <c r="R33" s="65" t="n">
        <f aca="false">Assumptions!$E$121*O9</f>
        <v>10189.166245092</v>
      </c>
      <c r="S33" s="65" t="n">
        <f aca="false">Assumptions!$F$121*O9</f>
        <v>7924.90707951599</v>
      </c>
      <c r="T33" s="65" t="n">
        <f aca="false">Assumptions!$G$121*O9</f>
        <v>6226.71270533399</v>
      </c>
      <c r="U33" s="65" t="n">
        <f aca="false">Assumptions!$H$121*O9</f>
        <v>5094.58312254599</v>
      </c>
      <c r="V33" s="65" t="n">
        <f aca="false">Assumptions!$B$123*O9</f>
        <v>3962.453539758</v>
      </c>
      <c r="W33" s="65" t="n">
        <f aca="false">Assumptions!$C$123*O9</f>
        <v>3169.9628318064</v>
      </c>
      <c r="X33" s="65" t="n">
        <f aca="false">Assumptions!$D$123*O9</f>
        <v>2490.6850821336</v>
      </c>
      <c r="Y33" s="65" t="n">
        <f aca="false">Assumptions!$E$123*O9</f>
        <v>2037.8332490184</v>
      </c>
      <c r="Z33" s="65" t="n">
        <f aca="false">Assumptions!$F$123*O9</f>
        <v>1924.6202907396</v>
      </c>
      <c r="AA33" s="73" t="n">
        <f aca="false">0</f>
        <v>0</v>
      </c>
      <c r="AB33" s="73" t="n">
        <f aca="false">0</f>
        <v>0</v>
      </c>
    </row>
    <row r="34" customFormat="false" ht="15" hidden="false" customHeight="false" outlineLevel="0" collapsed="false">
      <c r="A34" s="28" t="s">
        <v>826</v>
      </c>
      <c r="B34" s="62"/>
      <c r="C34" s="64" t="n">
        <f aca="false">SUM(E34:P34)</f>
        <v>23414.9710506884</v>
      </c>
      <c r="D34" s="64" t="n">
        <f aca="false">SUM(Q34:AB34)</f>
        <v>74704.9076379105</v>
      </c>
      <c r="E34" s="73" t="n">
        <f aca="false">0</f>
        <v>0</v>
      </c>
      <c r="F34" s="73" t="n">
        <f aca="false">0</f>
        <v>0</v>
      </c>
      <c r="G34" s="73" t="n">
        <f aca="false">0</f>
        <v>0</v>
      </c>
      <c r="H34" s="73" t="n">
        <f aca="false">0</f>
        <v>0</v>
      </c>
      <c r="I34" s="73" t="n">
        <f aca="false">0</f>
        <v>0</v>
      </c>
      <c r="J34" s="73" t="n">
        <f aca="false">0</f>
        <v>0</v>
      </c>
      <c r="K34" s="73" t="n">
        <f aca="false">0</f>
        <v>0</v>
      </c>
      <c r="L34" s="73" t="n">
        <f aca="false">0</f>
        <v>0</v>
      </c>
      <c r="M34" s="73" t="n">
        <f aca="false">0</f>
        <v>0</v>
      </c>
      <c r="N34" s="73" t="n">
        <f aca="false">0</f>
        <v>0</v>
      </c>
      <c r="O34" s="73" t="n">
        <f aca="false">0</f>
        <v>0</v>
      </c>
      <c r="P34" s="65" t="n">
        <f aca="false">Assumptions!$B$121*P9</f>
        <v>23414.9710506884</v>
      </c>
      <c r="Q34" s="65" t="n">
        <f aca="false">Assumptions!$C$121*P9</f>
        <v>18954.976564843</v>
      </c>
      <c r="R34" s="65" t="n">
        <f aca="false">Assumptions!$D$121*P9</f>
        <v>13379.9834575362</v>
      </c>
      <c r="S34" s="65" t="n">
        <f aca="false">Assumptions!$E$121*P9</f>
        <v>10034.9875931522</v>
      </c>
      <c r="T34" s="65" t="n">
        <f aca="false">Assumptions!$F$121*P9</f>
        <v>7804.99035022945</v>
      </c>
      <c r="U34" s="65" t="n">
        <f aca="false">Assumptions!$G$121*P9</f>
        <v>6132.49241803743</v>
      </c>
      <c r="V34" s="65" t="n">
        <f aca="false">Assumptions!$H$121*P9</f>
        <v>5017.49379657608</v>
      </c>
      <c r="W34" s="65" t="n">
        <f aca="false">Assumptions!$B$123*P9</f>
        <v>3902.49517511473</v>
      </c>
      <c r="X34" s="65" t="n">
        <f aca="false">Assumptions!$C$123*P9</f>
        <v>3121.99614009178</v>
      </c>
      <c r="Y34" s="65" t="n">
        <f aca="false">Assumptions!$D$123*P9</f>
        <v>2452.99696721497</v>
      </c>
      <c r="Z34" s="65" t="n">
        <f aca="false">Assumptions!$E$123*P9</f>
        <v>2006.99751863043</v>
      </c>
      <c r="AA34" s="65" t="n">
        <f aca="false">Assumptions!$F$123*P9</f>
        <v>1895.4976564843</v>
      </c>
      <c r="AB34" s="73" t="n">
        <f aca="false">0</f>
        <v>0</v>
      </c>
    </row>
    <row r="35" customFormat="false" ht="15" hidden="false" customHeight="false" outlineLevel="0" collapsed="false">
      <c r="A35" s="28" t="s">
        <v>827</v>
      </c>
      <c r="B35" s="62"/>
      <c r="C35" s="64" t="n">
        <f aca="false">SUM(E35:P35)</f>
        <v>0</v>
      </c>
      <c r="D35" s="64" t="n">
        <f aca="false">SUM(Q35:AB35)</f>
        <v>108181.986851319</v>
      </c>
      <c r="E35" s="73" t="n">
        <f aca="false">0</f>
        <v>0</v>
      </c>
      <c r="F35" s="73" t="n">
        <f aca="false">0</f>
        <v>0</v>
      </c>
      <c r="G35" s="73" t="n">
        <f aca="false">0</f>
        <v>0</v>
      </c>
      <c r="H35" s="73" t="n">
        <f aca="false">0</f>
        <v>0</v>
      </c>
      <c r="I35" s="73" t="n">
        <f aca="false">0</f>
        <v>0</v>
      </c>
      <c r="J35" s="73" t="n">
        <f aca="false">0</f>
        <v>0</v>
      </c>
      <c r="K35" s="73" t="n">
        <f aca="false">0</f>
        <v>0</v>
      </c>
      <c r="L35" s="73" t="n">
        <f aca="false">0</f>
        <v>0</v>
      </c>
      <c r="M35" s="73" t="n">
        <f aca="false">0</f>
        <v>0</v>
      </c>
      <c r="N35" s="73" t="n">
        <f aca="false">0</f>
        <v>0</v>
      </c>
      <c r="O35" s="73" t="n">
        <f aca="false">0</f>
        <v>0</v>
      </c>
      <c r="P35" s="73" t="n">
        <f aca="false">0</f>
        <v>0</v>
      </c>
      <c r="Q35" s="65" t="n">
        <f aca="false">Assumptions!$B$121*Q9</f>
        <v>25816.1559531556</v>
      </c>
      <c r="R35" s="65" t="n">
        <f aca="false">Assumptions!$C$121*Q9</f>
        <v>20898.7929144593</v>
      </c>
      <c r="S35" s="65" t="n">
        <f aca="false">Assumptions!$D$121*Q9</f>
        <v>14752.0891160889</v>
      </c>
      <c r="T35" s="65" t="n">
        <f aca="false">Assumptions!$E$121*Q9</f>
        <v>11064.0668370667</v>
      </c>
      <c r="U35" s="65" t="n">
        <f aca="false">Assumptions!$F$121*Q9</f>
        <v>8605.38531771853</v>
      </c>
      <c r="V35" s="65" t="n">
        <f aca="false">Assumptions!$G$121*Q9</f>
        <v>6761.37417820741</v>
      </c>
      <c r="W35" s="65" t="n">
        <f aca="false">Assumptions!$H$121*Q9</f>
        <v>5532.03341853334</v>
      </c>
      <c r="X35" s="65" t="n">
        <f aca="false">Assumptions!$B$123*Q9</f>
        <v>4302.69265885926</v>
      </c>
      <c r="Y35" s="65" t="n">
        <f aca="false">Assumptions!$C$123*Q9</f>
        <v>3442.15412708741</v>
      </c>
      <c r="Z35" s="65" t="n">
        <f aca="false">Assumptions!$D$123*Q9</f>
        <v>2704.54967128297</v>
      </c>
      <c r="AA35" s="65" t="n">
        <f aca="false">Assumptions!$E$123*Q9</f>
        <v>2212.81336741334</v>
      </c>
      <c r="AB35" s="65" t="n">
        <f aca="false">Assumptions!$F$123*Q9</f>
        <v>2089.87929144593</v>
      </c>
    </row>
    <row r="36" customFormat="false" ht="15" hidden="false" customHeight="false" outlineLevel="0" collapsed="false">
      <c r="A36" s="28" t="s">
        <v>828</v>
      </c>
      <c r="B36" s="62"/>
      <c r="C36" s="64" t="n">
        <f aca="false">SUM(E36:P36)</f>
        <v>0</v>
      </c>
      <c r="D36" s="64" t="n">
        <f aca="false">SUM(Q36:AB36)</f>
        <v>106762.468953345</v>
      </c>
      <c r="E36" s="73" t="n">
        <f aca="false">0</f>
        <v>0</v>
      </c>
      <c r="F36" s="73" t="n">
        <f aca="false">0</f>
        <v>0</v>
      </c>
      <c r="G36" s="73" t="n">
        <f aca="false">0</f>
        <v>0</v>
      </c>
      <c r="H36" s="73" t="n">
        <f aca="false">0</f>
        <v>0</v>
      </c>
      <c r="I36" s="73" t="n">
        <f aca="false">0</f>
        <v>0</v>
      </c>
      <c r="J36" s="73" t="n">
        <f aca="false">0</f>
        <v>0</v>
      </c>
      <c r="K36" s="73" t="n">
        <f aca="false">0</f>
        <v>0</v>
      </c>
      <c r="L36" s="73" t="n">
        <f aca="false">0</f>
        <v>0</v>
      </c>
      <c r="M36" s="73" t="n">
        <f aca="false">0</f>
        <v>0</v>
      </c>
      <c r="N36" s="73" t="n">
        <f aca="false">0</f>
        <v>0</v>
      </c>
      <c r="O36" s="73" t="n">
        <f aca="false">0</f>
        <v>0</v>
      </c>
      <c r="P36" s="73" t="n">
        <f aca="false">0</f>
        <v>0</v>
      </c>
      <c r="Q36" s="73" t="n">
        <f aca="false">0</f>
        <v>0</v>
      </c>
      <c r="R36" s="65" t="n">
        <f aca="false">Assumptions!$B$121*R9</f>
        <v>25979.2798148348</v>
      </c>
      <c r="S36" s="65" t="n">
        <f aca="false">Assumptions!$C$121*R9</f>
        <v>21030.8455643901</v>
      </c>
      <c r="T36" s="65" t="n">
        <f aca="false">Assumptions!$D$121*R9</f>
        <v>14845.3027513342</v>
      </c>
      <c r="U36" s="65" t="n">
        <f aca="false">Assumptions!$E$121*R9</f>
        <v>11133.9770635006</v>
      </c>
      <c r="V36" s="65" t="n">
        <f aca="false">Assumptions!$F$121*R9</f>
        <v>8659.75993827827</v>
      </c>
      <c r="W36" s="65" t="n">
        <f aca="false">Assumptions!$G$121*R9</f>
        <v>6804.0970943615</v>
      </c>
      <c r="X36" s="65" t="n">
        <f aca="false">Assumptions!$H$121*R9</f>
        <v>5566.98853175032</v>
      </c>
      <c r="Y36" s="65" t="n">
        <f aca="false">Assumptions!$B$123*R9</f>
        <v>4329.87996913914</v>
      </c>
      <c r="Z36" s="65" t="n">
        <f aca="false">Assumptions!$C$123*R9</f>
        <v>3463.90397531131</v>
      </c>
      <c r="AA36" s="65" t="n">
        <f aca="false">Assumptions!$D$123*R9</f>
        <v>2721.6388377446</v>
      </c>
      <c r="AB36" s="65" t="n">
        <f aca="false">Assumptions!$E$123*R9</f>
        <v>2226.79541270013</v>
      </c>
    </row>
    <row r="37" customFormat="false" ht="15" hidden="false" customHeight="false" outlineLevel="0" collapsed="false">
      <c r="A37" s="28" t="s">
        <v>829</v>
      </c>
      <c r="B37" s="62"/>
      <c r="C37" s="64" t="n">
        <f aca="false">SUM(E37:P37)</f>
        <v>0</v>
      </c>
      <c r="D37" s="64" t="n">
        <f aca="false">SUM(Q37:AB37)</f>
        <v>109199.078810041</v>
      </c>
      <c r="E37" s="73" t="n">
        <f aca="false">0</f>
        <v>0</v>
      </c>
      <c r="F37" s="73" t="n">
        <f aca="false">0</f>
        <v>0</v>
      </c>
      <c r="G37" s="73" t="n">
        <f aca="false">0</f>
        <v>0</v>
      </c>
      <c r="H37" s="73" t="n">
        <f aca="false">0</f>
        <v>0</v>
      </c>
      <c r="I37" s="73" t="n">
        <f aca="false">0</f>
        <v>0</v>
      </c>
      <c r="J37" s="73" t="n">
        <f aca="false">0</f>
        <v>0</v>
      </c>
      <c r="K37" s="73" t="n">
        <f aca="false">0</f>
        <v>0</v>
      </c>
      <c r="L37" s="73" t="n">
        <f aca="false">0</f>
        <v>0</v>
      </c>
      <c r="M37" s="73" t="n">
        <f aca="false">0</f>
        <v>0</v>
      </c>
      <c r="N37" s="73" t="n">
        <f aca="false">0</f>
        <v>0</v>
      </c>
      <c r="O37" s="73" t="n">
        <f aca="false">0</f>
        <v>0</v>
      </c>
      <c r="P37" s="73" t="n">
        <f aca="false">0</f>
        <v>0</v>
      </c>
      <c r="Q37" s="73" t="n">
        <f aca="false">0</f>
        <v>0</v>
      </c>
      <c r="R37" s="73" t="n">
        <f aca="false">0</f>
        <v>0</v>
      </c>
      <c r="S37" s="65" t="n">
        <f aca="false">Assumptions!$B$121*S9</f>
        <v>27138.2326036788</v>
      </c>
      <c r="T37" s="65" t="n">
        <f aca="false">Assumptions!$C$121*S9</f>
        <v>21969.0454410733</v>
      </c>
      <c r="U37" s="65" t="n">
        <f aca="false">Assumptions!$D$121*S9</f>
        <v>15507.5614878165</v>
      </c>
      <c r="V37" s="65" t="n">
        <f aca="false">Assumptions!$E$121*S9</f>
        <v>11630.6711158624</v>
      </c>
      <c r="W37" s="65" t="n">
        <f aca="false">Assumptions!$F$121*S9</f>
        <v>9046.07753455961</v>
      </c>
      <c r="X37" s="65" t="n">
        <f aca="false">Assumptions!$G$121*S9</f>
        <v>7107.63234858255</v>
      </c>
      <c r="Y37" s="65" t="n">
        <f aca="false">Assumptions!$H$121*S9</f>
        <v>5815.33555793118</v>
      </c>
      <c r="Z37" s="65" t="n">
        <f aca="false">Assumptions!$B$123*S9</f>
        <v>4523.0387672798</v>
      </c>
      <c r="AA37" s="65" t="n">
        <f aca="false">Assumptions!$C$123*S9</f>
        <v>3618.43101382384</v>
      </c>
      <c r="AB37" s="65" t="n">
        <f aca="false">Assumptions!$D$123*S9</f>
        <v>2843.05293943302</v>
      </c>
    </row>
    <row r="38" customFormat="false" ht="15" hidden="false" customHeight="false" outlineLevel="0" collapsed="false">
      <c r="A38" s="28" t="s">
        <v>830</v>
      </c>
      <c r="B38" s="62"/>
      <c r="C38" s="64" t="n">
        <f aca="false">SUM(E38:P38)</f>
        <v>0</v>
      </c>
      <c r="D38" s="64" t="n">
        <f aca="false">SUM(Q38:AB38)</f>
        <v>105411.367618874</v>
      </c>
      <c r="E38" s="73" t="n">
        <f aca="false">0</f>
        <v>0</v>
      </c>
      <c r="F38" s="73" t="n">
        <f aca="false">0</f>
        <v>0</v>
      </c>
      <c r="G38" s="73" t="n">
        <f aca="false">0</f>
        <v>0</v>
      </c>
      <c r="H38" s="73" t="n">
        <f aca="false">0</f>
        <v>0</v>
      </c>
      <c r="I38" s="73" t="n">
        <f aca="false">0</f>
        <v>0</v>
      </c>
      <c r="J38" s="73" t="n">
        <f aca="false">0</f>
        <v>0</v>
      </c>
      <c r="K38" s="73" t="n">
        <f aca="false">0</f>
        <v>0</v>
      </c>
      <c r="L38" s="73" t="n">
        <f aca="false">0</f>
        <v>0</v>
      </c>
      <c r="M38" s="73" t="n">
        <f aca="false">0</f>
        <v>0</v>
      </c>
      <c r="N38" s="73" t="n">
        <f aca="false">0</f>
        <v>0</v>
      </c>
      <c r="O38" s="73" t="n">
        <f aca="false">0</f>
        <v>0</v>
      </c>
      <c r="P38" s="73" t="n">
        <f aca="false">0</f>
        <v>0</v>
      </c>
      <c r="Q38" s="73" t="n">
        <f aca="false">0</f>
        <v>0</v>
      </c>
      <c r="R38" s="73" t="n">
        <f aca="false">0</f>
        <v>0</v>
      </c>
      <c r="S38" s="73" t="n">
        <f aca="false">0</f>
        <v>0</v>
      </c>
      <c r="T38" s="65" t="n">
        <f aca="false">Assumptions!$B$121*T9</f>
        <v>26897.1897933943</v>
      </c>
      <c r="U38" s="65" t="n">
        <f aca="false">Assumptions!$C$121*T9</f>
        <v>21773.9155470335</v>
      </c>
      <c r="V38" s="65" t="n">
        <f aca="false">Assumptions!$D$121*T9</f>
        <v>15369.8227390825</v>
      </c>
      <c r="W38" s="65" t="n">
        <f aca="false">Assumptions!$E$121*T9</f>
        <v>11527.3670543118</v>
      </c>
      <c r="X38" s="65" t="n">
        <f aca="false">Assumptions!$F$121*T9</f>
        <v>8965.72993113144</v>
      </c>
      <c r="Y38" s="65" t="n">
        <f aca="false">Assumptions!$G$121*T9</f>
        <v>7044.50208874613</v>
      </c>
      <c r="Z38" s="65" t="n">
        <f aca="false">Assumptions!$H$121*T9</f>
        <v>5763.68352715592</v>
      </c>
      <c r="AA38" s="65" t="n">
        <f aca="false">Assumptions!$B$123*T9</f>
        <v>4482.86496556572</v>
      </c>
      <c r="AB38" s="65" t="n">
        <f aca="false">Assumptions!$C$123*T9</f>
        <v>3586.29197245257</v>
      </c>
    </row>
    <row r="39" customFormat="false" ht="15" hidden="false" customHeight="false" outlineLevel="0" collapsed="false">
      <c r="A39" s="28" t="s">
        <v>831</v>
      </c>
      <c r="B39" s="62"/>
      <c r="C39" s="64" t="n">
        <f aca="false">SUM(E39:P39)</f>
        <v>0</v>
      </c>
      <c r="D39" s="64" t="n">
        <f aca="false">SUM(Q39:AB39)</f>
        <v>103825.73254053</v>
      </c>
      <c r="E39" s="73" t="n">
        <f aca="false">0</f>
        <v>0</v>
      </c>
      <c r="F39" s="73" t="n">
        <f aca="false">0</f>
        <v>0</v>
      </c>
      <c r="G39" s="73" t="n">
        <f aca="false">0</f>
        <v>0</v>
      </c>
      <c r="H39" s="73" t="n">
        <f aca="false">0</f>
        <v>0</v>
      </c>
      <c r="I39" s="73" t="n">
        <f aca="false">0</f>
        <v>0</v>
      </c>
      <c r="J39" s="73" t="n">
        <f aca="false">0</f>
        <v>0</v>
      </c>
      <c r="K39" s="73" t="n">
        <f aca="false">0</f>
        <v>0</v>
      </c>
      <c r="L39" s="73" t="n">
        <f aca="false">0</f>
        <v>0</v>
      </c>
      <c r="M39" s="73" t="n">
        <f aca="false">0</f>
        <v>0</v>
      </c>
      <c r="N39" s="73" t="n">
        <f aca="false">0</f>
        <v>0</v>
      </c>
      <c r="O39" s="73" t="n">
        <f aca="false">0</f>
        <v>0</v>
      </c>
      <c r="P39" s="73" t="n">
        <f aca="false">0</f>
        <v>0</v>
      </c>
      <c r="Q39" s="73" t="n">
        <f aca="false">0</f>
        <v>0</v>
      </c>
      <c r="R39" s="73" t="n">
        <f aca="false">0</f>
        <v>0</v>
      </c>
      <c r="S39" s="73" t="n">
        <f aca="false">0</f>
        <v>0</v>
      </c>
      <c r="T39" s="73" t="n">
        <f aca="false">0</f>
        <v>0</v>
      </c>
      <c r="U39" s="65" t="n">
        <f aca="false">Assumptions!$B$121*U9</f>
        <v>27425.6651993854</v>
      </c>
      <c r="V39" s="65" t="n">
        <f aca="false">Assumptions!$C$121*U9</f>
        <v>22201.728970931</v>
      </c>
      <c r="W39" s="65" t="n">
        <f aca="false">Assumptions!$D$121*U9</f>
        <v>15671.8086853631</v>
      </c>
      <c r="X39" s="65" t="n">
        <f aca="false">Assumptions!$E$121*U9</f>
        <v>11753.8565140223</v>
      </c>
      <c r="Y39" s="65" t="n">
        <f aca="false">Assumptions!$F$121*U9</f>
        <v>9141.88839979512</v>
      </c>
      <c r="Z39" s="65" t="n">
        <f aca="false">Assumptions!$G$121*U9</f>
        <v>7182.91231412474</v>
      </c>
      <c r="AA39" s="65" t="n">
        <f aca="false">Assumptions!$H$121*U9</f>
        <v>5876.92825701115</v>
      </c>
      <c r="AB39" s="65" t="n">
        <f aca="false">Assumptions!$B$123*U9</f>
        <v>4570.94419989756</v>
      </c>
    </row>
    <row r="40" customFormat="false" ht="15" hidden="false" customHeight="false" outlineLevel="0" collapsed="false">
      <c r="A40" s="28" t="s">
        <v>832</v>
      </c>
      <c r="B40" s="62"/>
      <c r="C40" s="64" t="n">
        <f aca="false">SUM(E40:P40)</f>
        <v>0</v>
      </c>
      <c r="D40" s="64" t="n">
        <f aca="false">SUM(Q40:AB40)</f>
        <v>103270.35131132</v>
      </c>
      <c r="E40" s="73" t="n">
        <f aca="false">0</f>
        <v>0</v>
      </c>
      <c r="F40" s="73" t="n">
        <f aca="false">0</f>
        <v>0</v>
      </c>
      <c r="G40" s="73" t="n">
        <f aca="false">0</f>
        <v>0</v>
      </c>
      <c r="H40" s="73" t="n">
        <f aca="false">0</f>
        <v>0</v>
      </c>
      <c r="I40" s="73" t="n">
        <f aca="false">0</f>
        <v>0</v>
      </c>
      <c r="J40" s="73" t="n">
        <f aca="false">0</f>
        <v>0</v>
      </c>
      <c r="K40" s="73" t="n">
        <f aca="false">0</f>
        <v>0</v>
      </c>
      <c r="L40" s="73" t="n">
        <f aca="false">0</f>
        <v>0</v>
      </c>
      <c r="M40" s="73" t="n">
        <f aca="false">0</f>
        <v>0</v>
      </c>
      <c r="N40" s="73" t="n">
        <f aca="false">0</f>
        <v>0</v>
      </c>
      <c r="O40" s="73" t="n">
        <f aca="false">0</f>
        <v>0</v>
      </c>
      <c r="P40" s="73" t="n">
        <f aca="false">0</f>
        <v>0</v>
      </c>
      <c r="Q40" s="73" t="n">
        <f aca="false">0</f>
        <v>0</v>
      </c>
      <c r="R40" s="73" t="n">
        <f aca="false">0</f>
        <v>0</v>
      </c>
      <c r="S40" s="73" t="n">
        <f aca="false">0</f>
        <v>0</v>
      </c>
      <c r="T40" s="73" t="n">
        <f aca="false">0</f>
        <v>0</v>
      </c>
      <c r="U40" s="73" t="n">
        <f aca="false">0</f>
        <v>0</v>
      </c>
      <c r="V40" s="65" t="n">
        <f aca="false">Assumptions!$B$121*V9</f>
        <v>28535.228651812</v>
      </c>
      <c r="W40" s="65" t="n">
        <f aca="false">Assumptions!$C$121*V9</f>
        <v>23099.9470038478</v>
      </c>
      <c r="X40" s="65" t="n">
        <f aca="false">Assumptions!$D$121*V9</f>
        <v>16305.8449438926</v>
      </c>
      <c r="Y40" s="65" t="n">
        <f aca="false">Assumptions!$E$121*V9</f>
        <v>12229.3837079194</v>
      </c>
      <c r="Z40" s="65" t="n">
        <f aca="false">Assumptions!$F$121*V9</f>
        <v>9511.74288393734</v>
      </c>
      <c r="AA40" s="65" t="n">
        <f aca="false">Assumptions!$G$121*V9</f>
        <v>7473.51226595077</v>
      </c>
      <c r="AB40" s="65" t="n">
        <f aca="false">Assumptions!$H$121*V9</f>
        <v>6114.69185395972</v>
      </c>
    </row>
    <row r="41" customFormat="false" ht="15" hidden="false" customHeight="false" outlineLevel="0" collapsed="false">
      <c r="A41" s="28" t="s">
        <v>833</v>
      </c>
      <c r="B41" s="62"/>
      <c r="C41" s="64" t="n">
        <f aca="false">SUM(E41:P41)</f>
        <v>0</v>
      </c>
      <c r="D41" s="64" t="n">
        <f aca="false">SUM(Q41:AB41)</f>
        <v>93874.2898726169</v>
      </c>
      <c r="E41" s="73" t="n">
        <f aca="false">0</f>
        <v>0</v>
      </c>
      <c r="F41" s="73" t="n">
        <f aca="false">0</f>
        <v>0</v>
      </c>
      <c r="G41" s="73" t="n">
        <f aca="false">0</f>
        <v>0</v>
      </c>
      <c r="H41" s="73" t="n">
        <f aca="false">0</f>
        <v>0</v>
      </c>
      <c r="I41" s="73" t="n">
        <f aca="false">0</f>
        <v>0</v>
      </c>
      <c r="J41" s="73" t="n">
        <f aca="false">0</f>
        <v>0</v>
      </c>
      <c r="K41" s="73" t="n">
        <f aca="false">0</f>
        <v>0</v>
      </c>
      <c r="L41" s="73" t="n">
        <f aca="false">0</f>
        <v>0</v>
      </c>
      <c r="M41" s="73" t="n">
        <f aca="false">0</f>
        <v>0</v>
      </c>
      <c r="N41" s="73" t="n">
        <f aca="false">0</f>
        <v>0</v>
      </c>
      <c r="O41" s="73" t="n">
        <f aca="false">0</f>
        <v>0</v>
      </c>
      <c r="P41" s="73" t="n">
        <f aca="false">0</f>
        <v>0</v>
      </c>
      <c r="Q41" s="73" t="n">
        <f aca="false">0</f>
        <v>0</v>
      </c>
      <c r="R41" s="73" t="n">
        <f aca="false">0</f>
        <v>0</v>
      </c>
      <c r="S41" s="73" t="n">
        <f aca="false">0</f>
        <v>0</v>
      </c>
      <c r="T41" s="73" t="n">
        <f aca="false">0</f>
        <v>0</v>
      </c>
      <c r="U41" s="73" t="n">
        <f aca="false">0</f>
        <v>0</v>
      </c>
      <c r="V41" s="73" t="n">
        <f aca="false">0</f>
        <v>0</v>
      </c>
      <c r="W41" s="65" t="n">
        <f aca="false">Assumptions!$B$121*W9</f>
        <v>27571.4697527966</v>
      </c>
      <c r="X41" s="65" t="n">
        <f aca="false">Assumptions!$C$121*W9</f>
        <v>22319.7612284544</v>
      </c>
      <c r="Y41" s="65" t="n">
        <f aca="false">Assumptions!$D$121*W9</f>
        <v>15755.1255730266</v>
      </c>
      <c r="Z41" s="65" t="n">
        <f aca="false">Assumptions!$E$121*W9</f>
        <v>11816.34417977</v>
      </c>
      <c r="AA41" s="65" t="n">
        <f aca="false">Assumptions!$F$121*W9</f>
        <v>9190.48991759886</v>
      </c>
      <c r="AB41" s="65" t="n">
        <f aca="false">Assumptions!$G$121*W9</f>
        <v>7221.09922097053</v>
      </c>
    </row>
    <row r="42" customFormat="false" ht="15" hidden="false" customHeight="false" outlineLevel="0" collapsed="false">
      <c r="A42" s="28" t="s">
        <v>834</v>
      </c>
      <c r="B42" s="62"/>
      <c r="C42" s="64" t="n">
        <f aca="false">SUM(E42:P42)</f>
        <v>0</v>
      </c>
      <c r="D42" s="64" t="n">
        <f aca="false">SUM(Q42:AB42)</f>
        <v>80732.1828782734</v>
      </c>
      <c r="E42" s="73" t="n">
        <f aca="false">0</f>
        <v>0</v>
      </c>
      <c r="F42" s="73" t="n">
        <f aca="false">0</f>
        <v>0</v>
      </c>
      <c r="G42" s="73" t="n">
        <f aca="false">0</f>
        <v>0</v>
      </c>
      <c r="H42" s="73" t="n">
        <f aca="false">0</f>
        <v>0</v>
      </c>
      <c r="I42" s="73" t="n">
        <f aca="false">0</f>
        <v>0</v>
      </c>
      <c r="J42" s="73" t="n">
        <f aca="false">0</f>
        <v>0</v>
      </c>
      <c r="K42" s="73" t="n">
        <f aca="false">0</f>
        <v>0</v>
      </c>
      <c r="L42" s="73" t="n">
        <f aca="false">0</f>
        <v>0</v>
      </c>
      <c r="M42" s="73" t="n">
        <f aca="false">0</f>
        <v>0</v>
      </c>
      <c r="N42" s="73" t="n">
        <f aca="false">0</f>
        <v>0</v>
      </c>
      <c r="O42" s="73" t="n">
        <f aca="false">0</f>
        <v>0</v>
      </c>
      <c r="P42" s="73" t="n">
        <f aca="false">0</f>
        <v>0</v>
      </c>
      <c r="Q42" s="73" t="n">
        <f aca="false">0</f>
        <v>0</v>
      </c>
      <c r="R42" s="73" t="n">
        <f aca="false">0</f>
        <v>0</v>
      </c>
      <c r="S42" s="73" t="n">
        <f aca="false">0</f>
        <v>0</v>
      </c>
      <c r="T42" s="73" t="n">
        <f aca="false">0</f>
        <v>0</v>
      </c>
      <c r="U42" s="73" t="n">
        <f aca="false">0</f>
        <v>0</v>
      </c>
      <c r="V42" s="73" t="n">
        <f aca="false">0</f>
        <v>0</v>
      </c>
      <c r="W42" s="73" t="n">
        <f aca="false">0</f>
        <v>0</v>
      </c>
      <c r="X42" s="65" t="n">
        <f aca="false">Assumptions!$B$121*X9</f>
        <v>25687.5127339961</v>
      </c>
      <c r="Y42" s="65" t="n">
        <f aca="false">Assumptions!$C$121*X9</f>
        <v>20794.6531656159</v>
      </c>
      <c r="Z42" s="65" t="n">
        <f aca="false">Assumptions!$D$121*X9</f>
        <v>14678.5787051406</v>
      </c>
      <c r="AA42" s="65" t="n">
        <f aca="false">Assumptions!$E$121*X9</f>
        <v>11008.9340288555</v>
      </c>
      <c r="AB42" s="65" t="n">
        <f aca="false">Assumptions!$F$121*X9</f>
        <v>8562.50424466536</v>
      </c>
    </row>
    <row r="43" customFormat="false" ht="15" hidden="false" customHeight="false" outlineLevel="0" collapsed="false">
      <c r="A43" s="28" t="s">
        <v>835</v>
      </c>
      <c r="B43" s="62"/>
      <c r="C43" s="64" t="n">
        <f aca="false">SUM(E43:P43)</f>
        <v>0</v>
      </c>
      <c r="D43" s="64" t="n">
        <f aca="false">SUM(Q43:AB43)</f>
        <v>91041.1270897853</v>
      </c>
      <c r="E43" s="73" t="n">
        <f aca="false">0</f>
        <v>0</v>
      </c>
      <c r="F43" s="73" t="n">
        <f aca="false">0</f>
        <v>0</v>
      </c>
      <c r="G43" s="73" t="n">
        <f aca="false">0</f>
        <v>0</v>
      </c>
      <c r="H43" s="73" t="n">
        <f aca="false">0</f>
        <v>0</v>
      </c>
      <c r="I43" s="73" t="n">
        <f aca="false">0</f>
        <v>0</v>
      </c>
      <c r="J43" s="73" t="n">
        <f aca="false">0</f>
        <v>0</v>
      </c>
      <c r="K43" s="73" t="n">
        <f aca="false">0</f>
        <v>0</v>
      </c>
      <c r="L43" s="73" t="n">
        <f aca="false">0</f>
        <v>0</v>
      </c>
      <c r="M43" s="73" t="n">
        <f aca="false">0</f>
        <v>0</v>
      </c>
      <c r="N43" s="73" t="n">
        <f aca="false">0</f>
        <v>0</v>
      </c>
      <c r="O43" s="73" t="n">
        <f aca="false">0</f>
        <v>0</v>
      </c>
      <c r="P43" s="73" t="n">
        <f aca="false">0</f>
        <v>0</v>
      </c>
      <c r="Q43" s="73" t="n">
        <f aca="false">0</f>
        <v>0</v>
      </c>
      <c r="R43" s="73" t="n">
        <f aca="false">0</f>
        <v>0</v>
      </c>
      <c r="S43" s="73" t="n">
        <f aca="false">0</f>
        <v>0</v>
      </c>
      <c r="T43" s="73" t="n">
        <f aca="false">0</f>
        <v>0</v>
      </c>
      <c r="U43" s="73" t="n">
        <f aca="false">0</f>
        <v>0</v>
      </c>
      <c r="V43" s="73" t="n">
        <f aca="false">0</f>
        <v>0</v>
      </c>
      <c r="W43" s="73" t="n">
        <f aca="false">0</f>
        <v>0</v>
      </c>
      <c r="X43" s="73" t="n">
        <f aca="false">0</f>
        <v>0</v>
      </c>
      <c r="Y43" s="65" t="n">
        <f aca="false">Assumptions!$B$121*Y9</f>
        <v>32404.4689641609</v>
      </c>
      <c r="Z43" s="65" t="n">
        <f aca="false">Assumptions!$C$121*Y9</f>
        <v>26232.1891614636</v>
      </c>
      <c r="AA43" s="65" t="n">
        <f aca="false">Assumptions!$D$121*Y9</f>
        <v>18516.8394080919</v>
      </c>
      <c r="AB43" s="65" t="n">
        <f aca="false">Assumptions!$E$121*Y9</f>
        <v>13887.629556069</v>
      </c>
    </row>
    <row r="44" customFormat="false" ht="15" hidden="false" customHeight="false" outlineLevel="0" collapsed="false">
      <c r="A44" s="28" t="s">
        <v>836</v>
      </c>
      <c r="B44" s="62"/>
      <c r="C44" s="64" t="n">
        <f aca="false">SUM(E44:P44)</f>
        <v>0</v>
      </c>
      <c r="D44" s="64" t="n">
        <f aca="false">SUM(Q44:AB44)</f>
        <v>80200.5428505503</v>
      </c>
      <c r="E44" s="73" t="n">
        <f aca="false">0</f>
        <v>0</v>
      </c>
      <c r="F44" s="73" t="n">
        <f aca="false">0</f>
        <v>0</v>
      </c>
      <c r="G44" s="73" t="n">
        <f aca="false">0</f>
        <v>0</v>
      </c>
      <c r="H44" s="73" t="n">
        <f aca="false">0</f>
        <v>0</v>
      </c>
      <c r="I44" s="73" t="n">
        <f aca="false">0</f>
        <v>0</v>
      </c>
      <c r="J44" s="73" t="n">
        <f aca="false">0</f>
        <v>0</v>
      </c>
      <c r="K44" s="73" t="n">
        <f aca="false">0</f>
        <v>0</v>
      </c>
      <c r="L44" s="73" t="n">
        <f aca="false">0</f>
        <v>0</v>
      </c>
      <c r="M44" s="73" t="n">
        <f aca="false">0</f>
        <v>0</v>
      </c>
      <c r="N44" s="73" t="n">
        <f aca="false">0</f>
        <v>0</v>
      </c>
      <c r="O44" s="73" t="n">
        <f aca="false">0</f>
        <v>0</v>
      </c>
      <c r="P44" s="73" t="n">
        <f aca="false">0</f>
        <v>0</v>
      </c>
      <c r="Q44" s="73" t="n">
        <f aca="false">0</f>
        <v>0</v>
      </c>
      <c r="R44" s="73" t="n">
        <f aca="false">0</f>
        <v>0</v>
      </c>
      <c r="S44" s="73" t="n">
        <f aca="false">0</f>
        <v>0</v>
      </c>
      <c r="T44" s="73" t="n">
        <f aca="false">0</f>
        <v>0</v>
      </c>
      <c r="U44" s="73" t="n">
        <f aca="false">0</f>
        <v>0</v>
      </c>
      <c r="V44" s="73" t="n">
        <f aca="false">0</f>
        <v>0</v>
      </c>
      <c r="W44" s="73" t="n">
        <f aca="false">0</f>
        <v>0</v>
      </c>
      <c r="X44" s="73" t="n">
        <f aca="false">0</f>
        <v>0</v>
      </c>
      <c r="Y44" s="73" t="n">
        <f aca="false">0</f>
        <v>0</v>
      </c>
      <c r="Z44" s="65" t="n">
        <f aca="false">Assumptions!$B$121*Z9</f>
        <v>33684.2279972311</v>
      </c>
      <c r="AA44" s="65" t="n">
        <f aca="false">Assumptions!$C$121*Z9</f>
        <v>27268.1845691871</v>
      </c>
      <c r="AB44" s="65" t="n">
        <f aca="false">Assumptions!$D$121*Z9</f>
        <v>19248.1302841321</v>
      </c>
    </row>
    <row r="45" customFormat="false" ht="15" hidden="false" customHeight="false" outlineLevel="0" collapsed="false">
      <c r="A45" s="28" t="s">
        <v>837</v>
      </c>
      <c r="B45" s="62"/>
      <c r="C45" s="64" t="n">
        <f aca="false">SUM(E45:P45)</f>
        <v>0</v>
      </c>
      <c r="D45" s="64" t="n">
        <f aca="false">SUM(Q45:AB45)</f>
        <v>61337.5509632632</v>
      </c>
      <c r="E45" s="73" t="n">
        <f aca="false">0</f>
        <v>0</v>
      </c>
      <c r="F45" s="73" t="n">
        <f aca="false">0</f>
        <v>0</v>
      </c>
      <c r="G45" s="73" t="n">
        <f aca="false">0</f>
        <v>0</v>
      </c>
      <c r="H45" s="73" t="n">
        <f aca="false">0</f>
        <v>0</v>
      </c>
      <c r="I45" s="73" t="n">
        <f aca="false">0</f>
        <v>0</v>
      </c>
      <c r="J45" s="73" t="n">
        <f aca="false">0</f>
        <v>0</v>
      </c>
      <c r="K45" s="73" t="n">
        <f aca="false">0</f>
        <v>0</v>
      </c>
      <c r="L45" s="73" t="n">
        <f aca="false">0</f>
        <v>0</v>
      </c>
      <c r="M45" s="73" t="n">
        <f aca="false">0</f>
        <v>0</v>
      </c>
      <c r="N45" s="73" t="n">
        <f aca="false">0</f>
        <v>0</v>
      </c>
      <c r="O45" s="73" t="n">
        <f aca="false">0</f>
        <v>0</v>
      </c>
      <c r="P45" s="73" t="n">
        <f aca="false">0</f>
        <v>0</v>
      </c>
      <c r="Q45" s="73" t="n">
        <f aca="false">0</f>
        <v>0</v>
      </c>
      <c r="R45" s="73" t="n">
        <f aca="false">0</f>
        <v>0</v>
      </c>
      <c r="S45" s="73" t="n">
        <f aca="false">0</f>
        <v>0</v>
      </c>
      <c r="T45" s="73" t="n">
        <f aca="false">0</f>
        <v>0</v>
      </c>
      <c r="U45" s="73" t="n">
        <f aca="false">0</f>
        <v>0</v>
      </c>
      <c r="V45" s="73" t="n">
        <f aca="false">0</f>
        <v>0</v>
      </c>
      <c r="W45" s="73" t="n">
        <f aca="false">0</f>
        <v>0</v>
      </c>
      <c r="X45" s="73" t="n">
        <f aca="false">0</f>
        <v>0</v>
      </c>
      <c r="Y45" s="73" t="n">
        <f aca="false">0</f>
        <v>0</v>
      </c>
      <c r="Z45" s="73" t="n">
        <f aca="false">0</f>
        <v>0</v>
      </c>
      <c r="AA45" s="65" t="n">
        <f aca="false">Assumptions!$B$121*AA9</f>
        <v>33897.0676375928</v>
      </c>
      <c r="AB45" s="65" t="n">
        <f aca="false">Assumptions!$C$121*AA9</f>
        <v>27440.4833256704</v>
      </c>
    </row>
    <row r="46" customFormat="false" ht="15" hidden="false" customHeight="false" outlineLevel="0" collapsed="false">
      <c r="A46" s="28" t="s">
        <v>838</v>
      </c>
      <c r="B46" s="62"/>
      <c r="C46" s="64" t="n">
        <f aca="false">SUM(E46:P46)</f>
        <v>0</v>
      </c>
      <c r="D46" s="64" t="n">
        <f aca="false">SUM(Q46:AB46)</f>
        <v>33384.149890707</v>
      </c>
      <c r="E46" s="73" t="n">
        <f aca="false">0</f>
        <v>0</v>
      </c>
      <c r="F46" s="73" t="n">
        <f aca="false">0</f>
        <v>0</v>
      </c>
      <c r="G46" s="73" t="n">
        <f aca="false">0</f>
        <v>0</v>
      </c>
      <c r="H46" s="73" t="n">
        <f aca="false">0</f>
        <v>0</v>
      </c>
      <c r="I46" s="73" t="n">
        <f aca="false">0</f>
        <v>0</v>
      </c>
      <c r="J46" s="73" t="n">
        <f aca="false">0</f>
        <v>0</v>
      </c>
      <c r="K46" s="73" t="n">
        <f aca="false">0</f>
        <v>0</v>
      </c>
      <c r="L46" s="73" t="n">
        <f aca="false">0</f>
        <v>0</v>
      </c>
      <c r="M46" s="73" t="n">
        <f aca="false">0</f>
        <v>0</v>
      </c>
      <c r="N46" s="73" t="n">
        <f aca="false">0</f>
        <v>0</v>
      </c>
      <c r="O46" s="73" t="n">
        <f aca="false">0</f>
        <v>0</v>
      </c>
      <c r="P46" s="73" t="n">
        <f aca="false">0</f>
        <v>0</v>
      </c>
      <c r="Q46" s="73" t="n">
        <f aca="false">0</f>
        <v>0</v>
      </c>
      <c r="R46" s="73" t="n">
        <f aca="false">0</f>
        <v>0</v>
      </c>
      <c r="S46" s="73" t="n">
        <f aca="false">0</f>
        <v>0</v>
      </c>
      <c r="T46" s="73" t="n">
        <f aca="false">0</f>
        <v>0</v>
      </c>
      <c r="U46" s="73" t="n">
        <f aca="false">0</f>
        <v>0</v>
      </c>
      <c r="V46" s="73" t="n">
        <f aca="false">0</f>
        <v>0</v>
      </c>
      <c r="W46" s="73" t="n">
        <f aca="false">0</f>
        <v>0</v>
      </c>
      <c r="X46" s="73" t="n">
        <f aca="false">0</f>
        <v>0</v>
      </c>
      <c r="Y46" s="73" t="n">
        <f aca="false">0</f>
        <v>0</v>
      </c>
      <c r="Z46" s="73" t="n">
        <f aca="false">0</f>
        <v>0</v>
      </c>
      <c r="AA46" s="73" t="n">
        <f aca="false">0</f>
        <v>0</v>
      </c>
      <c r="AB46" s="65" t="n">
        <f aca="false">Assumptions!$B$121*AB9</f>
        <v>33384.149890707</v>
      </c>
    </row>
    <row r="47" customFormat="false" ht="15" hidden="false" customHeight="false" outlineLevel="0" collapsed="false">
      <c r="A47" s="58" t="s">
        <v>839</v>
      </c>
      <c r="B47" s="59"/>
      <c r="C47" s="60" t="n">
        <f aca="false">SUM(E47:P47)</f>
        <v>939404.09718343</v>
      </c>
      <c r="D47" s="60" t="n">
        <f aca="false">SUM(Q47:AB47)</f>
        <v>1345356.01589811</v>
      </c>
      <c r="E47" s="60" t="n">
        <f aca="false">SUM(E11:E46)</f>
        <v>66771.5</v>
      </c>
      <c r="F47" s="60" t="n">
        <f aca="false">SUM(F11:F46)</f>
        <v>70109.39</v>
      </c>
      <c r="G47" s="60" t="n">
        <f aca="false">SUM(G11:G46)</f>
        <v>73013.09</v>
      </c>
      <c r="H47" s="60" t="n">
        <f aca="false">SUM(H11:H46)</f>
        <v>73802.24</v>
      </c>
      <c r="I47" s="60" t="n">
        <f aca="false">SUM(I11:I46)</f>
        <v>73694.1</v>
      </c>
      <c r="J47" s="60" t="n">
        <f aca="false">SUM(J11:J46)</f>
        <v>76351.66</v>
      </c>
      <c r="K47" s="60" t="n">
        <f aca="false">SUM(K11:K46)</f>
        <v>78099.69</v>
      </c>
      <c r="L47" s="60" t="n">
        <f aca="false">SUM(L11:L46)</f>
        <v>78231.94</v>
      </c>
      <c r="M47" s="60" t="n">
        <f aca="false">SUM(M11:M46)</f>
        <v>81862.7175798001</v>
      </c>
      <c r="N47" s="60" t="n">
        <f aca="false">SUM(N11:N46)</f>
        <v>86209.5222483575</v>
      </c>
      <c r="O47" s="60" t="n">
        <f aca="false">SUM(O11:O46)</f>
        <v>89550.5934803643</v>
      </c>
      <c r="P47" s="60" t="n">
        <f aca="false">SUM(P11:P46)</f>
        <v>91707.6538749076</v>
      </c>
      <c r="Q47" s="60" t="n">
        <f aca="false">SUM(Q11:Q46)</f>
        <v>95807.7997858553</v>
      </c>
      <c r="R47" s="60" t="n">
        <f aca="false">SUM(R11:R46)</f>
        <v>99077.7316151859</v>
      </c>
      <c r="S47" s="60" t="n">
        <f aca="false">SUM(S11:S46)</f>
        <v>102652.987968878</v>
      </c>
      <c r="T47" s="60" t="n">
        <f aca="false">SUM(T11:T46)</f>
        <v>105293.817290632</v>
      </c>
      <c r="U47" s="60" t="n">
        <f aca="false">SUM(U11:U46)</f>
        <v>107776.883303526</v>
      </c>
      <c r="V47" s="60" t="n">
        <f aca="false">SUM(V11:V46)</f>
        <v>110835.124667813</v>
      </c>
      <c r="W47" s="60" t="n">
        <f aca="false">SUM(W11:W46)</f>
        <v>112231.660005516</v>
      </c>
      <c r="X47" s="60" t="n">
        <f aca="false">SUM(X11:X46)</f>
        <v>111487.610778934</v>
      </c>
      <c r="Y47" s="60" t="n">
        <f aca="false">SUM(Y11:Y46)</f>
        <v>117360.757372277</v>
      </c>
      <c r="Z47" s="60" t="n">
        <f aca="false">SUM(Z11:Z46)</f>
        <v>123492.788992067</v>
      </c>
      <c r="AA47" s="60" t="n">
        <f aca="false">SUM(AA11:AA46)</f>
        <v>128163.20192532</v>
      </c>
      <c r="AB47" s="60" t="n">
        <f aca="false">SUM(AB11:AB46)</f>
        <v>131175.652192103</v>
      </c>
    </row>
    <row r="48" customFormat="false" ht="15" hidden="false" customHeight="false" outlineLevel="0" collapsed="false">
      <c r="A48" s="22" t="s">
        <v>840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customFormat="false" ht="15" hidden="false" customHeight="false" outlineLevel="0" collapsed="false">
      <c r="A49" s="28" t="s">
        <v>841</v>
      </c>
      <c r="B49" s="62" t="s">
        <v>842</v>
      </c>
      <c r="C49" s="64" t="n">
        <f aca="false">SUM(E49:P49)</f>
        <v>1067504.65589026</v>
      </c>
      <c r="D49" s="64" t="n">
        <f aca="false">SUM(Q49:AB49)</f>
        <v>1528813.65442967</v>
      </c>
      <c r="E49" s="65" t="n">
        <f aca="false">E47/(1-Assumptions!$C$119)</f>
        <v>75876.7045454545</v>
      </c>
      <c r="F49" s="65" t="n">
        <f aca="false">F47/(1-Assumptions!$C$119)</f>
        <v>79669.7613636364</v>
      </c>
      <c r="G49" s="65" t="n">
        <f aca="false">G47/(1-Assumptions!$C$119)</f>
        <v>82969.4204545455</v>
      </c>
      <c r="H49" s="65" t="n">
        <f aca="false">H47/(1-Assumptions!$C$119)</f>
        <v>83866.1818181818</v>
      </c>
      <c r="I49" s="65" t="n">
        <f aca="false">I47/(1-Assumptions!$C$119)</f>
        <v>83743.2954545455</v>
      </c>
      <c r="J49" s="65" t="n">
        <f aca="false">J47/(1-Assumptions!$C$119)</f>
        <v>86763.25</v>
      </c>
      <c r="K49" s="65" t="n">
        <f aca="false">K47/(1-Assumptions!$C$119)</f>
        <v>88749.6477272727</v>
      </c>
      <c r="L49" s="65" t="n">
        <f aca="false">L47/(1-Assumptions!$C$119)</f>
        <v>88899.9318181818</v>
      </c>
      <c r="M49" s="65" t="n">
        <f aca="false">M47/(1-Assumptions!$C$119)</f>
        <v>93025.815431591</v>
      </c>
      <c r="N49" s="65" t="n">
        <f aca="false">N47/(1-Assumptions!$C$119)</f>
        <v>97965.3661913153</v>
      </c>
      <c r="O49" s="65" t="n">
        <f aca="false">O47/(1-Assumptions!$C$119)</f>
        <v>101762.038045869</v>
      </c>
      <c r="P49" s="65" t="n">
        <f aca="false">P47/(1-Assumptions!$C$119)</f>
        <v>104213.243039668</v>
      </c>
      <c r="Q49" s="65" t="n">
        <f aca="false">Q47/(1-Assumptions!$C$119)</f>
        <v>108872.499756654</v>
      </c>
      <c r="R49" s="65" t="n">
        <f aca="false">R47/(1-Assumptions!$C$119)</f>
        <v>112588.331380893</v>
      </c>
      <c r="S49" s="65" t="n">
        <f aca="false">S47/(1-Assumptions!$C$119)</f>
        <v>116651.122691907</v>
      </c>
      <c r="T49" s="65" t="n">
        <f aca="false">T47/(1-Assumptions!$C$119)</f>
        <v>119652.065102991</v>
      </c>
      <c r="U49" s="65" t="n">
        <f aca="false">U47/(1-Assumptions!$C$119)</f>
        <v>122473.731026734</v>
      </c>
      <c r="V49" s="65" t="n">
        <f aca="false">V47/(1-Assumptions!$C$119)</f>
        <v>125949.005304333</v>
      </c>
      <c r="W49" s="65" t="n">
        <f aca="false">W47/(1-Assumptions!$C$119)</f>
        <v>127535.977278995</v>
      </c>
      <c r="X49" s="65" t="n">
        <f aca="false">X47/(1-Assumptions!$C$119)</f>
        <v>126690.466794244</v>
      </c>
      <c r="Y49" s="65" t="n">
        <f aca="false">Y47/(1-Assumptions!$C$119)</f>
        <v>133364.497013951</v>
      </c>
      <c r="Z49" s="65" t="n">
        <f aca="false">Z47/(1-Assumptions!$C$119)</f>
        <v>140332.714763713</v>
      </c>
      <c r="AA49" s="65" t="n">
        <f aca="false">AA47/(1-Assumptions!$C$119)</f>
        <v>145640.002187864</v>
      </c>
      <c r="AB49" s="65" t="n">
        <f aca="false">AB47/(1-Assumptions!$C$119)</f>
        <v>149063.24112739</v>
      </c>
    </row>
    <row r="50" customFormat="false" ht="15" hidden="false" customHeight="false" outlineLevel="0" collapsed="false">
      <c r="A50" s="28" t="s">
        <v>843</v>
      </c>
      <c r="B50" s="62" t="s">
        <v>844</v>
      </c>
      <c r="C50" s="64" t="n">
        <f aca="false">SUM(E50:P50)</f>
        <v>-13933.4377386364</v>
      </c>
      <c r="D50" s="64" t="n">
        <f aca="false">SUM(Q50:AB50)</f>
        <v>2209.7743181818</v>
      </c>
      <c r="E50" s="65" t="n">
        <f aca="false">(History!$C$89-(History!$D$89+SUM(Credits!$E$11:$AB$11))-Assumptions!$C$119*History!$C$89)/(1-Assumptions!$C$119)</f>
        <v>-365.908636363634</v>
      </c>
      <c r="F50" s="65" t="n">
        <f aca="false">(History!$C$90-(History!$D$90+SUM(Credits!$E$12:$AB$12))-Assumptions!$C$119*History!$C$90)/(1-Assumptions!$C$119)</f>
        <v>2292.39727272727</v>
      </c>
      <c r="G50" s="65" t="n">
        <f aca="false">(History!$C$91-(History!$D$91+SUM(Credits!$E$13:$AB$13))-Assumptions!$C$119*History!$C$91)/(1-Assumptions!$C$119)</f>
        <v>-726.336818181816</v>
      </c>
      <c r="H50" s="65" t="n">
        <f aca="false">(History!$C$92-(History!$D$92+SUM(Credits!$E$14:$AB$14))-Assumptions!$C$119*History!$C$92)/(1-Assumptions!$C$119)</f>
        <v>162.915454545458</v>
      </c>
      <c r="I50" s="65" t="n">
        <f aca="false">(History!$C$93-(History!$D$93+SUM(Credits!$E$15:$AB$15))-Assumptions!$C$119*History!$C$93)/(1-Assumptions!$C$119)</f>
        <v>-1521.94636363636</v>
      </c>
      <c r="J50" s="65" t="n">
        <f aca="false">(History!$C$94-(History!$D$94+SUM(Credits!$E$16:$AB$16))-Assumptions!$C$119*History!$C$94)/(1-Assumptions!$C$119)</f>
        <v>-1075.69409090909</v>
      </c>
      <c r="K50" s="65" t="n">
        <f aca="false">(History!$C$95-(History!$D$95+SUM(Credits!$E$17:$AB$17))-Assumptions!$C$119*History!$C$95)/(1-Assumptions!$C$119)</f>
        <v>-405.311818181809</v>
      </c>
      <c r="L50" s="65" t="n">
        <f aca="false">(History!$C$96-(History!$D$96+SUM(Credits!$E$18:$AB$18))-Assumptions!$C$119*History!$C$96)/(1-Assumptions!$C$119)</f>
        <v>-2490.65909090909</v>
      </c>
      <c r="M50" s="65" t="n">
        <f aca="false">(History!$C$97-(History!$D$97+SUM(Credits!$E$19:$AB$19))-Assumptions!$C$119*History!$C$97)/(1-Assumptions!$C$119)</f>
        <v>-1912.03500000001</v>
      </c>
      <c r="N50" s="65" t="n">
        <f aca="false">(History!$C$98-(History!$D$98+SUM(Credits!$E$20:$AB$20))-Assumptions!$C$119*History!$C$98)/(1-Assumptions!$C$119)</f>
        <v>-2278.25613636364</v>
      </c>
      <c r="O50" s="65" t="n">
        <f aca="false">(History!$C$99-(History!$D$99+SUM(Credits!$E$21:$AB$21))-Assumptions!$C$119*History!$C$99)/(1-Assumptions!$C$119)</f>
        <v>-547.855170454543</v>
      </c>
      <c r="P50" s="65" t="n">
        <f aca="false">(History!$C$100-(History!$D$100+SUM(Credits!$E$22:$AB$22))-Assumptions!$C$119*History!$C$100)/(1-Assumptions!$C$119)</f>
        <v>-5064.74734090909</v>
      </c>
      <c r="Q50" s="65" t="n">
        <f aca="false">(E9-(SUM(Credits!$E$23:$AB$23))-Assumptions!$C$119*E9)/(1-Assumptions!$C$119)</f>
        <v>2602.87125</v>
      </c>
      <c r="R50" s="65" t="n">
        <f aca="false">(F9-(SUM(Credits!$E$24:$AB$24))-Assumptions!$C$119*F9)/(1-Assumptions!$C$119)</f>
        <v>-776.666363636375</v>
      </c>
      <c r="S50" s="65" t="n">
        <f aca="false">(G9-(SUM(Credits!$E$25:$AB$25))-Assumptions!$C$119*G9)/(1-Assumptions!$C$119)</f>
        <v>679.671022727274</v>
      </c>
      <c r="T50" s="65" t="n">
        <f aca="false">(H9-(SUM(Credits!$E$26:$AB$26))-Assumptions!$C$119*H9)/(1-Assumptions!$C$119)</f>
        <v>-256.00681818182</v>
      </c>
      <c r="U50" s="65" t="n">
        <f aca="false">(I9-(SUM(Credits!$E$27:$AB$27))-Assumptions!$C$119*I9)/(1-Assumptions!$C$119)</f>
        <v>3627.59943181818</v>
      </c>
      <c r="V50" s="65" t="n">
        <f aca="false">(J9-(SUM(Credits!$E$28:$AB$28))-Assumptions!$C$119*J9)/(1-Assumptions!$C$119)</f>
        <v>-3539.56818181819</v>
      </c>
      <c r="W50" s="65" t="n">
        <f aca="false">(K9-(SUM(Credits!$E$29:$AB$29))-Assumptions!$C$119*K9)/(1-Assumptions!$C$119)</f>
        <v>62.92318181818</v>
      </c>
      <c r="X50" s="65" t="n">
        <f aca="false">(L9-(SUM(Credits!$E$30:$AB$30))-Assumptions!$C$119*L9)/(1-Assumptions!$C$119)</f>
        <v>-191.04920454545</v>
      </c>
      <c r="Y50" s="65" t="n">
        <f aca="false">(M9-(SUM(Credits!$E$31:$AB$31))-Assumptions!$C$119*M9)/(1-Assumptions!$C$119)</f>
        <v>0</v>
      </c>
      <c r="Z50" s="65" t="n">
        <f aca="false">(N9-(SUM(Credits!$E$32:$AB$32))-Assumptions!$C$119*N9)/(1-Assumptions!$C$119)</f>
        <v>0</v>
      </c>
      <c r="AA50" s="65" t="n">
        <f aca="false">(O9-(SUM(Credits!$E$33:$AB$33))-Assumptions!$C$119*O9)/(1-Assumptions!$C$119)</f>
        <v>0</v>
      </c>
      <c r="AB50" s="65" t="n">
        <f aca="false">(P9-(SUM(Credits!$E$34:$AB$34))-Assumptions!$C$119*P9)/(1-Assumptions!$C$119)</f>
        <v>0</v>
      </c>
    </row>
    <row r="51" customFormat="false" ht="15" hidden="false" customHeight="false" outlineLevel="0" collapsed="false">
      <c r="A51" s="58" t="s">
        <v>845</v>
      </c>
      <c r="B51" s="59"/>
      <c r="C51" s="60" t="n">
        <f aca="false">SUM(E51:P51)</f>
        <v>1053571.21815162</v>
      </c>
      <c r="D51" s="60" t="n">
        <f aca="false">SUM(Q51:AB51)</f>
        <v>1531023.42874785</v>
      </c>
      <c r="E51" s="60" t="n">
        <f aca="false">E49+E50</f>
        <v>75510.7959090909</v>
      </c>
      <c r="F51" s="60" t="n">
        <f aca="false">F49+F50</f>
        <v>81962.1586363636</v>
      </c>
      <c r="G51" s="60" t="n">
        <f aca="false">G49+G50</f>
        <v>82243.0836363636</v>
      </c>
      <c r="H51" s="60" t="n">
        <f aca="false">H49+H50</f>
        <v>84029.0972727273</v>
      </c>
      <c r="I51" s="60" t="n">
        <f aca="false">I49+I50</f>
        <v>82221.3490909091</v>
      </c>
      <c r="J51" s="60" t="n">
        <f aca="false">J49+J50</f>
        <v>85687.5559090909</v>
      </c>
      <c r="K51" s="60" t="n">
        <f aca="false">K49+K50</f>
        <v>88344.3359090909</v>
      </c>
      <c r="L51" s="60" t="n">
        <f aca="false">L49+L50</f>
        <v>86409.2727272727</v>
      </c>
      <c r="M51" s="60" t="n">
        <f aca="false">M49+M50</f>
        <v>91113.780431591</v>
      </c>
      <c r="N51" s="60" t="n">
        <f aca="false">N49+N50</f>
        <v>95687.1100549517</v>
      </c>
      <c r="O51" s="60" t="n">
        <f aca="false">O49+O50</f>
        <v>101214.182875414</v>
      </c>
      <c r="P51" s="60" t="n">
        <f aca="false">P49+P50</f>
        <v>99148.4956987587</v>
      </c>
      <c r="Q51" s="60" t="n">
        <f aca="false">Q49+Q50</f>
        <v>111475.371006654</v>
      </c>
      <c r="R51" s="60" t="n">
        <f aca="false">R49+R50</f>
        <v>111811.665017257</v>
      </c>
      <c r="S51" s="60" t="n">
        <f aca="false">S49+S50</f>
        <v>117330.793714634</v>
      </c>
      <c r="T51" s="60" t="n">
        <f aca="false">T49+T50</f>
        <v>119396.058284809</v>
      </c>
      <c r="U51" s="60" t="n">
        <f aca="false">U49+U50</f>
        <v>126101.330458553</v>
      </c>
      <c r="V51" s="60" t="n">
        <f aca="false">V49+V50</f>
        <v>122409.437122515</v>
      </c>
      <c r="W51" s="60" t="n">
        <f aca="false">W49+W50</f>
        <v>127598.900460813</v>
      </c>
      <c r="X51" s="60" t="n">
        <f aca="false">X49+X50</f>
        <v>126499.417589698</v>
      </c>
      <c r="Y51" s="60" t="n">
        <f aca="false">Y49+Y50</f>
        <v>133364.497013951</v>
      </c>
      <c r="Z51" s="60" t="n">
        <f aca="false">Z49+Z50</f>
        <v>140332.714763713</v>
      </c>
      <c r="AA51" s="60" t="n">
        <f aca="false">AA49+AA50</f>
        <v>145640.002187864</v>
      </c>
      <c r="AB51" s="60" t="n">
        <f aca="false">AB49+AB50</f>
        <v>149063.24112739</v>
      </c>
    </row>
    <row r="52" customFormat="false" ht="15" hidden="false" customHeight="false" outlineLevel="0" collapsed="false">
      <c r="A52" s="28" t="s">
        <v>846</v>
      </c>
      <c r="B52" s="62" t="s">
        <v>847</v>
      </c>
      <c r="C52" s="64" t="n">
        <f aca="false">SUM(E52:P52)</f>
        <v>114167.120968195</v>
      </c>
      <c r="D52" s="64" t="n">
        <f aca="false">SUM(Q52:AB52)</f>
        <v>185667.412849742</v>
      </c>
      <c r="E52" s="65" t="n">
        <f aca="false">E47*Assumptions!$C$119/(1-Assumptions!$C$119)+E50</f>
        <v>8739.29590909091</v>
      </c>
      <c r="F52" s="65" t="n">
        <f aca="false">F47*Assumptions!$C$119/(1-Assumptions!$C$119)+F50</f>
        <v>11852.7686363636</v>
      </c>
      <c r="G52" s="65" t="n">
        <f aca="false">G47*Assumptions!$C$119/(1-Assumptions!$C$119)+G50</f>
        <v>9229.99363636364</v>
      </c>
      <c r="H52" s="65" t="n">
        <f aca="false">H47*Assumptions!$C$119/(1-Assumptions!$C$119)+H50</f>
        <v>10226.8572727273</v>
      </c>
      <c r="I52" s="65" t="n">
        <f aca="false">I47*Assumptions!$C$119/(1-Assumptions!$C$119)+I50</f>
        <v>8527.24909090909</v>
      </c>
      <c r="J52" s="65" t="n">
        <f aca="false">J47*Assumptions!$C$119/(1-Assumptions!$C$119)+J50</f>
        <v>9335.89590909091</v>
      </c>
      <c r="K52" s="65" t="n">
        <f aca="false">K47*Assumptions!$C$119/(1-Assumptions!$C$119)+K50</f>
        <v>10244.6459090909</v>
      </c>
      <c r="L52" s="65" t="n">
        <f aca="false">L47*Assumptions!$C$119/(1-Assumptions!$C$119)+L50</f>
        <v>8177.33272727273</v>
      </c>
      <c r="M52" s="65" t="n">
        <f aca="false">M47*Assumptions!$C$119/(1-Assumptions!$C$119)+M50</f>
        <v>9251.06285179091</v>
      </c>
      <c r="N52" s="65" t="n">
        <f aca="false">N47*Assumptions!$C$119/(1-Assumptions!$C$119)+N50</f>
        <v>9477.5878065942</v>
      </c>
      <c r="O52" s="65" t="n">
        <f aca="false">O47*Assumptions!$C$119/(1-Assumptions!$C$119)+O50</f>
        <v>11663.5893950497</v>
      </c>
      <c r="P52" s="65" t="n">
        <f aca="false">P47*Assumptions!$C$119/(1-Assumptions!$C$119)+P50</f>
        <v>7440.84182385104</v>
      </c>
      <c r="Q52" s="65" t="n">
        <f aca="false">Q47*Assumptions!$C$119/(1-Assumptions!$C$119)+Q50</f>
        <v>15667.5712207985</v>
      </c>
      <c r="R52" s="65" t="n">
        <f aca="false">R47*Assumptions!$C$119/(1-Assumptions!$C$119)+R50</f>
        <v>12733.9334020708</v>
      </c>
      <c r="S52" s="65" t="n">
        <f aca="false">S47*Assumptions!$C$119/(1-Assumptions!$C$119)+S50</f>
        <v>14677.8057457561</v>
      </c>
      <c r="T52" s="65" t="n">
        <f aca="false">T47*Assumptions!$C$119/(1-Assumptions!$C$119)+T50</f>
        <v>14102.2409941771</v>
      </c>
      <c r="U52" s="65" t="n">
        <f aca="false">U47*Assumptions!$C$119/(1-Assumptions!$C$119)+U50</f>
        <v>18324.4471550263</v>
      </c>
      <c r="V52" s="65" t="n">
        <f aca="false">V47*Assumptions!$C$119/(1-Assumptions!$C$119)+V50</f>
        <v>11574.3124547018</v>
      </c>
      <c r="W52" s="65" t="n">
        <f aca="false">W47*Assumptions!$C$119/(1-Assumptions!$C$119)+W50</f>
        <v>15367.2404552976</v>
      </c>
      <c r="X52" s="65" t="n">
        <f aca="false">X47*Assumptions!$C$119/(1-Assumptions!$C$119)+X50</f>
        <v>15011.8068107638</v>
      </c>
      <c r="Y52" s="65" t="n">
        <f aca="false">Y47*Assumptions!$C$119/(1-Assumptions!$C$119)+Y50</f>
        <v>16003.7396416741</v>
      </c>
      <c r="Z52" s="65" t="n">
        <f aca="false">Z47*Assumptions!$C$119/(1-Assumptions!$C$119)+Z50</f>
        <v>16839.9257716456</v>
      </c>
      <c r="AA52" s="65" t="n">
        <f aca="false">AA47*Assumptions!$C$119/(1-Assumptions!$C$119)+AA50</f>
        <v>17476.8002625436</v>
      </c>
      <c r="AB52" s="65" t="n">
        <f aca="false">AB47*Assumptions!$C$119/(1-Assumptions!$C$119)+AB50</f>
        <v>17887.5889352868</v>
      </c>
    </row>
    <row r="53" customFormat="false" ht="15" hidden="false" customHeight="false" outlineLevel="0" collapsed="false">
      <c r="A53" s="28" t="s">
        <v>848</v>
      </c>
      <c r="B53" s="62" t="s">
        <v>531</v>
      </c>
      <c r="C53" s="64" t="n">
        <f aca="false">SUM(E53:P53)</f>
        <v>86448.99319</v>
      </c>
      <c r="D53" s="64" t="n">
        <f aca="false">SUM(Q53:AB53)</f>
        <v>140124.569769215</v>
      </c>
      <c r="E53" s="65" t="n">
        <f aca="false">History!$C$89-(History!$D$89+SUM(Credits!$E$11:$AB$11))</f>
        <v>6779.76</v>
      </c>
      <c r="F53" s="65" t="n">
        <f aca="false">History!$C$90-(History!$D$90+SUM(Credits!$E$12:$AB$12))</f>
        <v>8896.66</v>
      </c>
      <c r="G53" s="65" t="n">
        <f aca="false">History!$C$91-(History!$D$91+SUM(Credits!$E$13:$AB$13))</f>
        <v>6757.08</v>
      </c>
      <c r="H53" s="65" t="n">
        <f aca="false">History!$C$92-(History!$D$92+SUM(Credits!$E$14:$AB$14))</f>
        <v>7994.23</v>
      </c>
      <c r="I53" s="65" t="n">
        <f aca="false">History!$C$93-(History!$D$93+SUM(Credits!$E$15:$AB$15))</f>
        <v>7136.4</v>
      </c>
      <c r="J53" s="65" t="n">
        <f aca="false">History!$C$94-(History!$D$94+SUM(Credits!$E$16:$AB$16))</f>
        <v>7029.23</v>
      </c>
      <c r="K53" s="65" t="n">
        <f aca="false">History!$C$95-(History!$D$95+SUM(Credits!$E$17:$AB$17))</f>
        <v>7292.29000000001</v>
      </c>
      <c r="L53" s="65" t="n">
        <f aca="false">History!$C$96-(History!$D$96+SUM(Credits!$E$18:$AB$18))</f>
        <v>5049.17</v>
      </c>
      <c r="M53" s="65" t="n">
        <f aca="false">History!$C$97-(History!$D$97+SUM(Credits!$E$19:$AB$19))</f>
        <v>7900.76999999999</v>
      </c>
      <c r="N53" s="65" t="n">
        <f aca="false">History!$C$98-(History!$D$98+SUM(Credits!$E$20:$AB$20))</f>
        <v>7659.2386</v>
      </c>
      <c r="O53" s="65" t="n">
        <f aca="false">History!$C$99-(History!$D$99+SUM(Credits!$E$21:$AB$21))</f>
        <v>9084.07265</v>
      </c>
      <c r="P53" s="65" t="n">
        <f aca="false">History!$C$100-(History!$D$100+SUM(Credits!$E$22:$AB$22))</f>
        <v>4870.09194</v>
      </c>
      <c r="Q53" s="65" t="n">
        <f aca="false">E9-(SUM(Credits!$E$23:$AB$23))</f>
        <v>11551.1979</v>
      </c>
      <c r="R53" s="65" t="n">
        <f aca="false">F9-(SUM(Credits!$E$24:$AB$24))</f>
        <v>10176.3368</v>
      </c>
      <c r="S53" s="65" t="n">
        <f aca="false">G9-(SUM(Credits!$E$25:$AB$25))</f>
        <v>11744.9945</v>
      </c>
      <c r="T53" s="65" t="n">
        <f aca="false">H9-(SUM(Credits!$E$26:$AB$26))</f>
        <v>10053.662</v>
      </c>
      <c r="U53" s="65" t="n">
        <f aca="false">I9-(SUM(Credits!$E$27:$AB$27))</f>
        <v>13864.9975</v>
      </c>
      <c r="V53" s="65" t="n">
        <f aca="false">J9-(SUM(Credits!$E$28:$AB$28))</f>
        <v>7664.0336</v>
      </c>
      <c r="W53" s="65" t="n">
        <f aca="false">K9-(SUM(Credits!$E$29:$AB$29))</f>
        <v>11314.31</v>
      </c>
      <c r="X53" s="65" t="n">
        <f aca="false">L9-(SUM(Credits!$E$30:$AB$30))</f>
        <v>10301.9091</v>
      </c>
      <c r="Y53" s="65" t="n">
        <f aca="false">M9-(SUM(Credits!$E$31:$AB$31))</f>
        <v>12987.3386056</v>
      </c>
      <c r="Z53" s="65" t="n">
        <f aca="false">N9-(SUM(Credits!$E$32:$AB$32))</f>
        <v>13500.2513126233</v>
      </c>
      <c r="AA53" s="65" t="n">
        <f aca="false">O9-(SUM(Credits!$E$33:$AB$33))</f>
        <v>13585.554993456</v>
      </c>
      <c r="AB53" s="65" t="n">
        <f aca="false">P9-(SUM(Credits!$E$34:$AB$34))</f>
        <v>13379.9834575362</v>
      </c>
    </row>
    <row r="54" customFormat="false" ht="15" hidden="false" customHeight="false" outlineLevel="0" collapsed="false">
      <c r="A54" s="28" t="s">
        <v>849</v>
      </c>
      <c r="B54" s="62"/>
      <c r="C54" s="66" t="n">
        <f aca="false">AVERAGE(E54:P54)</f>
        <v>0.106424368129367</v>
      </c>
      <c r="D54" s="66" t="n">
        <f aca="false">AVERAGE(Q54:AB54)</f>
        <v>0.122151366339238</v>
      </c>
      <c r="E54" s="63" t="n">
        <f aca="false">IF(History!$C$89=0,0,E53/History!$C$89)</f>
        <v>0.114559101662636</v>
      </c>
      <c r="F54" s="63" t="n">
        <f aca="false">IF(History!$C$90=0,0,F53/History!$C$90)</f>
        <v>0.155188955050174</v>
      </c>
      <c r="G54" s="63" t="n">
        <f aca="false">IF(History!$C$91=0,0,G53/History!$C$91)</f>
        <v>0.109629731062325</v>
      </c>
      <c r="H54" s="63" t="n">
        <f aca="false">IF(History!$C$92=0,0,H53/History!$C$92)</f>
        <v>0.122191334752897</v>
      </c>
      <c r="I54" s="63" t="n">
        <f aca="false">IF(History!$C$93=0,0,I53/History!$C$93)</f>
        <v>0.101037873770334</v>
      </c>
      <c r="J54" s="63" t="n">
        <f aca="false">IF(History!$C$94=0,0,J53/History!$C$94)</f>
        <v>0.105757828064973</v>
      </c>
      <c r="K54" s="63" t="n">
        <f aca="false">IF(History!$C$95=0,0,K53/History!$C$95)</f>
        <v>0.11440434995357</v>
      </c>
      <c r="L54" s="63" t="n">
        <f aca="false">IF(History!$C$96=0,0,L53/History!$C$96)</f>
        <v>0.0836769208460216</v>
      </c>
      <c r="M54" s="63" t="n">
        <f aca="false">IF(History!$C$97=0,0,M53/History!$C$97)</f>
        <v>0.0989310973244375</v>
      </c>
      <c r="N54" s="63" t="n">
        <f aca="false">IF(History!$C$98=0,0,N53/History!$C$98)</f>
        <v>0.0951054160840984</v>
      </c>
      <c r="O54" s="63" t="n">
        <f aca="false">IF(History!$C$99=0,0,O53/History!$C$99)</f>
        <v>0.113952290825396</v>
      </c>
      <c r="P54" s="63" t="n">
        <f aca="false">IF(History!$C$100=0,0,P53/History!$C$100)</f>
        <v>0.0626575181555416</v>
      </c>
      <c r="Q54" s="75" t="n">
        <f aca="false">IF(E9=0,0,Q53/E9)</f>
        <v>0.149680700033924</v>
      </c>
      <c r="R54" s="75" t="n">
        <f aca="false">IF(F9=0,0,R53/F9)</f>
        <v>0.112447748224388</v>
      </c>
      <c r="S54" s="75" t="n">
        <f aca="false">IF(G9=0,0,S53/G9)</f>
        <v>0.126438863093937</v>
      </c>
      <c r="T54" s="75" t="n">
        <f aca="false">IF(H9=0,0,T53/H9)</f>
        <v>0.117369933187715</v>
      </c>
      <c r="U54" s="75" t="n">
        <f aca="false">IF(I9=0,0,U53/I9)</f>
        <v>0.155892898804521</v>
      </c>
      <c r="V54" s="75" t="n">
        <f aca="false">IF(J9=0,0,V53/J9)</f>
        <v>0.0853229913058657</v>
      </c>
      <c r="W54" s="75" t="n">
        <f aca="false">IF(K9=0,0,W53/K9)</f>
        <v>0.120590170070753</v>
      </c>
      <c r="X54" s="75" t="n">
        <f aca="false">IF(L9=0,0,X53/L9)</f>
        <v>0.118073091349746</v>
      </c>
      <c r="Y54" s="75" t="n">
        <f aca="false">IF(M9=0,0,Y53/M9)</f>
        <v>0.12</v>
      </c>
      <c r="Z54" s="75" t="n">
        <f aca="false">IF(N9=0,0,Z53/N9)</f>
        <v>0.12</v>
      </c>
      <c r="AA54" s="75" t="n">
        <f aca="false">IF(O9=0,0,AA53/O9)</f>
        <v>0.12</v>
      </c>
      <c r="AB54" s="75" t="n">
        <f aca="false">IF(P9=0,0,AB53/P9)</f>
        <v>0.12</v>
      </c>
    </row>
    <row r="55" customFormat="false" ht="15" hidden="false" customHeight="false" outlineLevel="0" collapsed="false">
      <c r="A55" s="22" t="s">
        <v>850</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row>
    <row r="56" customFormat="false" ht="15" hidden="false" customHeight="false" outlineLevel="0" collapsed="false">
      <c r="A56" s="58" t="s">
        <v>850</v>
      </c>
      <c r="B56" s="59" t="s">
        <v>851</v>
      </c>
      <c r="C56" s="60" t="n">
        <f aca="false">P56</f>
        <v>306908.848258505</v>
      </c>
      <c r="D56" s="60" t="n">
        <f aca="false">AB56</f>
        <v>435031.367095156</v>
      </c>
      <c r="E56" s="61" t="n">
        <f aca="false">Inputs_Actuals!$C$191+E9-E51</f>
        <v>210641.794090909</v>
      </c>
      <c r="F56" s="60" t="n">
        <f aca="false">E56+F9-F51</f>
        <v>219177.995454545</v>
      </c>
      <c r="G56" s="60" t="n">
        <f aca="false">F56+G9-G51</f>
        <v>229825.611818182</v>
      </c>
      <c r="H56" s="60" t="n">
        <f aca="false">G56+H9-H51</f>
        <v>231454.414545455</v>
      </c>
      <c r="I56" s="60" t="n">
        <f aca="false">H56+I9-I51</f>
        <v>238172.315454545</v>
      </c>
      <c r="J56" s="60" t="n">
        <f aca="false">I56+J9-J51</f>
        <v>242308.539545455</v>
      </c>
      <c r="K56" s="60" t="n">
        <f aca="false">J56+K9-K51</f>
        <v>247788.683636364</v>
      </c>
      <c r="L56" s="60" t="n">
        <f aca="false">K56+L9-L51</f>
        <v>248629.680909091</v>
      </c>
      <c r="M56" s="60" t="n">
        <f aca="false">L56+M9-M51</f>
        <v>265743.722190834</v>
      </c>
      <c r="N56" s="60" t="n">
        <f aca="false">M56+N9-N51</f>
        <v>282558.706407743</v>
      </c>
      <c r="O56" s="60" t="n">
        <f aca="false">N56+O9-O51</f>
        <v>294557.481811128</v>
      </c>
      <c r="P56" s="60" t="n">
        <f aca="false">O56+P9-P51</f>
        <v>306908.848258505</v>
      </c>
      <c r="Q56" s="60" t="n">
        <f aca="false">P56+Q9-Q51</f>
        <v>318367.553219259</v>
      </c>
      <c r="R56" s="60" t="n">
        <f aca="false">Q56+R9-R51</f>
        <v>330266.74446312</v>
      </c>
      <c r="S56" s="60" t="n">
        <f aca="false">R56+S9-S51</f>
        <v>342165.629813623</v>
      </c>
      <c r="T56" s="60" t="n">
        <f aca="false">S56+T9-T51</f>
        <v>350851.427687834</v>
      </c>
      <c r="U56" s="60" t="n">
        <f aca="false">T56+U9-U51</f>
        <v>355348.50294064</v>
      </c>
      <c r="V56" s="60" t="n">
        <f aca="false">U56+V9-V51</f>
        <v>368821.10701723</v>
      </c>
      <c r="W56" s="60" t="n">
        <f aca="false">V56+W9-W51</f>
        <v>372514.919664972</v>
      </c>
      <c r="X56" s="60" t="n">
        <f aca="false">W56+X9-X51</f>
        <v>368336.991284779</v>
      </c>
      <c r="Y56" s="60" t="n">
        <f aca="false">X56+Y9-Y51</f>
        <v>389279.489338261</v>
      </c>
      <c r="Z56" s="60" t="n">
        <f aca="false">Y56+Z9-Z51</f>
        <v>409347.860275648</v>
      </c>
      <c r="AA56" s="60" t="n">
        <f aca="false">Z56+AA9-AA51</f>
        <v>425122.465885846</v>
      </c>
      <c r="AB56" s="60" t="n">
        <f aca="false">AA56+AB9-AB51</f>
        <v>435031.367095156</v>
      </c>
    </row>
    <row r="57" customFormat="false" ht="15" hidden="false" customHeight="false" outlineLevel="0" collapsed="false">
      <c r="A57" s="28" t="s">
        <v>852</v>
      </c>
      <c r="B57" s="62" t="s">
        <v>853</v>
      </c>
      <c r="C57" s="64" t="n">
        <f aca="false">P57</f>
        <v>306908.849622141</v>
      </c>
      <c r="D57" s="64" t="n">
        <f aca="false">AB57</f>
        <v>435031.368458792</v>
      </c>
      <c r="E57" s="65" t="n">
        <f aca="false">History!$C$90-(History!$D$90+SUM(Credits!$E$12:$E$12))/(1-Assumptions!$C$119)+History!$C$91-(History!$D$91+SUM(Credits!$E$13:$E$13))/(1-Assumptions!$C$119)+History!$C$92-(History!$D$92+SUM(Credits!$E$14:$E$14))/(1-Assumptions!$C$119)+History!$C$93-(History!$D$93+SUM(Credits!$E$15:$E$15))/(1-Assumptions!$C$119)+History!$C$94-(History!$D$94+SUM(Credits!$E$16:$E$16))/(1-Assumptions!$C$119)+History!$C$95-(History!$D$95+SUM(Credits!$E$17:$E$17))/(1-Assumptions!$C$119)+History!$C$96-(History!$D$96+SUM(Credits!$E$18:$E$18))/(1-Assumptions!$C$119)+History!$C$97-(History!$D$97+SUM(Credits!$E$19:$E$19))/(1-Assumptions!$C$119)+History!$C$98-(History!$D$98+SUM(Credits!$E$20:$E$20))/(1-Assumptions!$C$119)+History!$C$99-(History!$D$99+SUM(Credits!$E$21:$E$21))/(1-Assumptions!$C$119)+History!$C$100-(History!$D$100+SUM(Credits!$E$22:$E$22))/(1-Assumptions!$C$119)+E9-(SUM(Credits!$E$23:$E$23))/(1-Assumptions!$C$119)</f>
        <v>210641.795454545</v>
      </c>
      <c r="F57" s="65" t="n">
        <f aca="false">History!$C$91-(History!$D$91+SUM(Credits!$E$13:$F$13))/(1-Assumptions!$C$119)+History!$C$92-(History!$D$92+SUM(Credits!$E$14:$F$14))/(1-Assumptions!$C$119)+History!$C$93-(History!$D$93+SUM(Credits!$E$15:$F$15))/(1-Assumptions!$C$119)+History!$C$94-(History!$D$94+SUM(Credits!$E$16:$F$16))/(1-Assumptions!$C$119)+History!$C$95-(History!$D$95+SUM(Credits!$E$17:$F$17))/(1-Assumptions!$C$119)+History!$C$96-(History!$D$96+SUM(Credits!$E$18:$F$18))/(1-Assumptions!$C$119)+History!$C$97-(History!$D$97+SUM(Credits!$E$19:$F$19))/(1-Assumptions!$C$119)+History!$C$98-(History!$D$98+SUM(Credits!$E$20:$F$20))/(1-Assumptions!$C$119)+History!$C$99-(History!$D$99+SUM(Credits!$E$21:$F$21))/(1-Assumptions!$C$119)+History!$C$100-(History!$D$100+SUM(Credits!$E$22:$F$22))/(1-Assumptions!$C$119)+E9-(SUM(Credits!$E$23:$F$23))/(1-Assumptions!$C$119)+F9-(SUM(Credits!$E$24:$F$24))/(1-Assumptions!$C$119)</f>
        <v>219177.996818182</v>
      </c>
      <c r="G57" s="65" t="n">
        <f aca="false">History!$C$92-(History!$D$92+SUM(Credits!$E$14:$G$14))/(1-Assumptions!$C$119)+History!$C$93-(History!$D$93+SUM(Credits!$E$15:$G$15))/(1-Assumptions!$C$119)+History!$C$94-(History!$D$94+SUM(Credits!$E$16:$G$16))/(1-Assumptions!$C$119)+History!$C$95-(History!$D$95+SUM(Credits!$E$17:$G$17))/(1-Assumptions!$C$119)+History!$C$96-(History!$D$96+SUM(Credits!$E$18:$G$18))/(1-Assumptions!$C$119)+History!$C$97-(History!$D$97+SUM(Credits!$E$19:$G$19))/(1-Assumptions!$C$119)+History!$C$98-(History!$D$98+SUM(Credits!$E$20:$G$20))/(1-Assumptions!$C$119)+History!$C$99-(History!$D$99+SUM(Credits!$E$21:$G$21))/(1-Assumptions!$C$119)+History!$C$100-(History!$D$100+SUM(Credits!$E$22:$G$22))/(1-Assumptions!$C$119)+E9-(SUM(Credits!$E$23:$G$23))/(1-Assumptions!$C$119)+F9-(SUM(Credits!$E$24:$G$24))/(1-Assumptions!$C$119)+G9-(SUM(Credits!$E$25:$G$25))/(1-Assumptions!$C$119)</f>
        <v>229825.613181818</v>
      </c>
      <c r="H57" s="65" t="n">
        <f aca="false">History!$C$93-(History!$D$93+SUM(Credits!$E$15:$H$15))/(1-Assumptions!$C$119)+History!$C$94-(History!$D$94+SUM(Credits!$E$16:$H$16))/(1-Assumptions!$C$119)+History!$C$95-(History!$D$95+SUM(Credits!$E$17:$H$17))/(1-Assumptions!$C$119)+History!$C$96-(History!$D$96+SUM(Credits!$E$18:$H$18))/(1-Assumptions!$C$119)+History!$C$97-(History!$D$97+SUM(Credits!$E$19:$H$19))/(1-Assumptions!$C$119)+History!$C$98-(History!$D$98+SUM(Credits!$E$20:$H$20))/(1-Assumptions!$C$119)+History!$C$99-(History!$D$99+SUM(Credits!$E$21:$H$21))/(1-Assumptions!$C$119)+History!$C$100-(History!$D$100+SUM(Credits!$E$22:$H$22))/(1-Assumptions!$C$119)+E9-(SUM(Credits!$E$23:$H$23))/(1-Assumptions!$C$119)+F9-(SUM(Credits!$E$24:$H$24))/(1-Assumptions!$C$119)+G9-(SUM(Credits!$E$25:$H$25))/(1-Assumptions!$C$119)+H9-(SUM(Credits!$E$26:$H$26))/(1-Assumptions!$C$119)</f>
        <v>231454.415909091</v>
      </c>
      <c r="I57" s="65" t="n">
        <f aca="false">History!$C$94-(History!$D$94+SUM(Credits!$E$16:$I$16))/(1-Assumptions!$C$119)+History!$C$95-(History!$D$95+SUM(Credits!$E$17:$I$17))/(1-Assumptions!$C$119)+History!$C$96-(History!$D$96+SUM(Credits!$E$18:$I$18))/(1-Assumptions!$C$119)+History!$C$97-(History!$D$97+SUM(Credits!$E$19:$I$19))/(1-Assumptions!$C$119)+History!$C$98-(History!$D$98+SUM(Credits!$E$20:$I$20))/(1-Assumptions!$C$119)+History!$C$99-(History!$D$99+SUM(Credits!$E$21:$I$21))/(1-Assumptions!$C$119)+History!$C$100-(History!$D$100+SUM(Credits!$E$22:$I$22))/(1-Assumptions!$C$119)+E9-(SUM(Credits!$E$23:$I$23))/(1-Assumptions!$C$119)+F9-(SUM(Credits!$E$24:$I$24))/(1-Assumptions!$C$119)+G9-(SUM(Credits!$E$25:$I$25))/(1-Assumptions!$C$119)+H9-(SUM(Credits!$E$26:$I$26))/(1-Assumptions!$C$119)+I9-(SUM(Credits!$E$27:$I$27))/(1-Assumptions!$C$119)</f>
        <v>238172.316818182</v>
      </c>
      <c r="J57" s="65" t="n">
        <f aca="false">History!$C$95-(History!$D$95+SUM(Credits!$E$17:$J$17))/(1-Assumptions!$C$119)+History!$C$96-(History!$D$96+SUM(Credits!$E$18:$J$18))/(1-Assumptions!$C$119)+History!$C$97-(History!$D$97+SUM(Credits!$E$19:$J$19))/(1-Assumptions!$C$119)+History!$C$98-(History!$D$98+SUM(Credits!$E$20:$J$20))/(1-Assumptions!$C$119)+History!$C$99-(History!$D$99+SUM(Credits!$E$21:$J$21))/(1-Assumptions!$C$119)+History!$C$100-(History!$D$100+SUM(Credits!$E$22:$J$22))/(1-Assumptions!$C$119)+E9-(SUM(Credits!$E$23:$J$23))/(1-Assumptions!$C$119)+F9-(SUM(Credits!$E$24:$J$24))/(1-Assumptions!$C$119)+G9-(SUM(Credits!$E$25:$J$25))/(1-Assumptions!$C$119)+H9-(SUM(Credits!$E$26:$J$26))/(1-Assumptions!$C$119)+I9-(SUM(Credits!$E$27:$J$27))/(1-Assumptions!$C$119)+J9-(SUM(Credits!$E$28:$J$28))/(1-Assumptions!$C$119)</f>
        <v>242308.540909091</v>
      </c>
      <c r="K57" s="65" t="n">
        <f aca="false">History!$C$96-(History!$D$96+SUM(Credits!$E$18:$K$18))/(1-Assumptions!$C$119)+History!$C$97-(History!$D$97+SUM(Credits!$E$19:$K$19))/(1-Assumptions!$C$119)+History!$C$98-(History!$D$98+SUM(Credits!$E$20:$K$20))/(1-Assumptions!$C$119)+History!$C$99-(History!$D$99+SUM(Credits!$E$21:$K$21))/(1-Assumptions!$C$119)+History!$C$100-(History!$D$100+SUM(Credits!$E$22:$K$22))/(1-Assumptions!$C$119)+E9-(SUM(Credits!$E$23:$K$23))/(1-Assumptions!$C$119)+F9-(SUM(Credits!$E$24:$K$24))/(1-Assumptions!$C$119)+G9-(SUM(Credits!$E$25:$K$25))/(1-Assumptions!$C$119)+H9-(SUM(Credits!$E$26:$K$26))/(1-Assumptions!$C$119)+I9-(SUM(Credits!$E$27:$K$27))/(1-Assumptions!$C$119)+J9-(SUM(Credits!$E$28:$K$28))/(1-Assumptions!$C$119)+K9-(SUM(Credits!$E$29:$K$29))/(1-Assumptions!$C$119)</f>
        <v>247788.685</v>
      </c>
      <c r="L57" s="65" t="n">
        <f aca="false">History!$C$97-(History!$D$97+SUM(Credits!$E$19:$L$19))/(1-Assumptions!$C$119)+History!$C$98-(History!$D$98+SUM(Credits!$E$20:$L$20))/(1-Assumptions!$C$119)+History!$C$99-(History!$D$99+SUM(Credits!$E$21:$L$21))/(1-Assumptions!$C$119)+History!$C$100-(History!$D$100+SUM(Credits!$E$22:$L$22))/(1-Assumptions!$C$119)+E9-(SUM(Credits!$E$23:$L$23))/(1-Assumptions!$C$119)+F9-(SUM(Credits!$E$24:$L$24))/(1-Assumptions!$C$119)+G9-(SUM(Credits!$E$25:$L$25))/(1-Assumptions!$C$119)+H9-(SUM(Credits!$E$26:$L$26))/(1-Assumptions!$C$119)+I9-(SUM(Credits!$E$27:$L$27))/(1-Assumptions!$C$119)+J9-(SUM(Credits!$E$28:$L$28))/(1-Assumptions!$C$119)+K9-(SUM(Credits!$E$29:$L$29))/(1-Assumptions!$C$119)+L9-(SUM(Credits!$E$30:$L$30))/(1-Assumptions!$C$119)</f>
        <v>248629.682272727</v>
      </c>
      <c r="M57" s="65" t="n">
        <f aca="false">History!$C$98-(History!$D$98+SUM(Credits!$E$20:$M$20))/(1-Assumptions!$C$119)+History!$C$99-(History!$D$99+SUM(Credits!$E$21:$M$21))/(1-Assumptions!$C$119)+History!$C$100-(History!$D$100+SUM(Credits!$E$22:$M$22))/(1-Assumptions!$C$119)+E9-(SUM(Credits!$E$23:$M$23))/(1-Assumptions!$C$119)+F9-(SUM(Credits!$E$24:$M$24))/(1-Assumptions!$C$119)+G9-(SUM(Credits!$E$25:$M$25))/(1-Assumptions!$C$119)+H9-(SUM(Credits!$E$26:$M$26))/(1-Assumptions!$C$119)+I9-(SUM(Credits!$E$27:$M$27))/(1-Assumptions!$C$119)+J9-(SUM(Credits!$E$28:$M$28))/(1-Assumptions!$C$119)+K9-(SUM(Credits!$E$29:$M$29))/(1-Assumptions!$C$119)+L9-(SUM(Credits!$E$30:$M$30))/(1-Assumptions!$C$119)+M9-(SUM(Credits!$E$31:$M$31))/(1-Assumptions!$C$119)</f>
        <v>265743.72355447</v>
      </c>
      <c r="N57" s="65" t="n">
        <f aca="false">History!$C$99-(History!$D$99+SUM(Credits!$E$21:$N$21))/(1-Assumptions!$C$119)+History!$C$100-(History!$D$100+SUM(Credits!$E$22:$N$22))/(1-Assumptions!$C$119)+E9-(SUM(Credits!$E$23:$N$23))/(1-Assumptions!$C$119)+F9-(SUM(Credits!$E$24:$N$24))/(1-Assumptions!$C$119)+G9-(SUM(Credits!$E$25:$N$25))/(1-Assumptions!$C$119)+H9-(SUM(Credits!$E$26:$N$26))/(1-Assumptions!$C$119)+I9-(SUM(Credits!$E$27:$N$27))/(1-Assumptions!$C$119)+J9-(SUM(Credits!$E$28:$N$28))/(1-Assumptions!$C$119)+K9-(SUM(Credits!$E$29:$N$29))/(1-Assumptions!$C$119)+L9-(SUM(Credits!$E$30:$N$30))/(1-Assumptions!$C$119)+M9-(SUM(Credits!$E$31:$N$31))/(1-Assumptions!$C$119)+N9-(SUM(Credits!$E$32:$N$32))/(1-Assumptions!$C$119)</f>
        <v>282558.707771379</v>
      </c>
      <c r="O57" s="65" t="n">
        <f aca="false">History!$C$100-(History!$D$100+SUM(Credits!$E$22:$O$22))/(1-Assumptions!$C$119)+E9-(SUM(Credits!$E$23:$O$23))/(1-Assumptions!$C$119)+F9-(SUM(Credits!$E$24:$O$24))/(1-Assumptions!$C$119)+G9-(SUM(Credits!$E$25:$O$25))/(1-Assumptions!$C$119)+H9-(SUM(Credits!$E$26:$O$26))/(1-Assumptions!$C$119)+I9-(SUM(Credits!$E$27:$O$27))/(1-Assumptions!$C$119)+J9-(SUM(Credits!$E$28:$O$28))/(1-Assumptions!$C$119)+K9-(SUM(Credits!$E$29:$O$29))/(1-Assumptions!$C$119)+L9-(SUM(Credits!$E$30:$O$30))/(1-Assumptions!$C$119)+M9-(SUM(Credits!$E$31:$O$31))/(1-Assumptions!$C$119)+N9-(SUM(Credits!$E$32:$O$32))/(1-Assumptions!$C$119)+O9-(SUM(Credits!$E$33:$O$33))/(1-Assumptions!$C$119)</f>
        <v>294557.483174765</v>
      </c>
      <c r="P57" s="65" t="n">
        <f aca="false">E9-(SUM(Credits!$E$23:$P$23))/(1-Assumptions!$C$119)+F9-(SUM(Credits!$E$24:$P$24))/(1-Assumptions!$C$119)+G9-(SUM(Credits!$E$25:$P$25))/(1-Assumptions!$C$119)+H9-(SUM(Credits!$E$26:$P$26))/(1-Assumptions!$C$119)+I9-(SUM(Credits!$E$27:$P$27))/(1-Assumptions!$C$119)+J9-(SUM(Credits!$E$28:$P$28))/(1-Assumptions!$C$119)+K9-(SUM(Credits!$E$29:$P$29))/(1-Assumptions!$C$119)+L9-(SUM(Credits!$E$30:$P$30))/(1-Assumptions!$C$119)+M9-(SUM(Credits!$E$31:$P$31))/(1-Assumptions!$C$119)+N9-(SUM(Credits!$E$32:$P$32))/(1-Assumptions!$C$119)+O9-(SUM(Credits!$E$33:$P$33))/(1-Assumptions!$C$119)+P9-(SUM(Credits!$E$34:$P$34))/(1-Assumptions!$C$119)</f>
        <v>306908.849622141</v>
      </c>
      <c r="Q57" s="65" t="n">
        <f aca="false">F9-(SUM(Credits!$E$24:$Q$24))/(1-Assumptions!$C$119)+G9-(SUM(Credits!$E$25:$Q$25))/(1-Assumptions!$C$119)+H9-(SUM(Credits!$E$26:$Q$26))/(1-Assumptions!$C$119)+I9-(SUM(Credits!$E$27:$Q$27))/(1-Assumptions!$C$119)+J9-(SUM(Credits!$E$28:$Q$28))/(1-Assumptions!$C$119)+K9-(SUM(Credits!$E$29:$Q$29))/(1-Assumptions!$C$119)+L9-(SUM(Credits!$E$30:$Q$30))/(1-Assumptions!$C$119)+M9-(SUM(Credits!$E$31:$Q$31))/(1-Assumptions!$C$119)+N9-(SUM(Credits!$E$32:$Q$32))/(1-Assumptions!$C$119)+O9-(SUM(Credits!$E$33:$Q$33))/(1-Assumptions!$C$119)+P9-(SUM(Credits!$E$34:$Q$34))/(1-Assumptions!$C$119)+Q9-(SUM(Credits!$E$35:$Q$35))/(1-Assumptions!$C$119)</f>
        <v>318367.554582895</v>
      </c>
      <c r="R57" s="65" t="n">
        <f aca="false">G9-(SUM(Credits!$E$25:$R$25))/(1-Assumptions!$C$119)+H9-(SUM(Credits!$E$26:$R$26))/(1-Assumptions!$C$119)+I9-(SUM(Credits!$E$27:$R$27))/(1-Assumptions!$C$119)+J9-(SUM(Credits!$E$28:$R$28))/(1-Assumptions!$C$119)+K9-(SUM(Credits!$E$29:$R$29))/(1-Assumptions!$C$119)+L9-(SUM(Credits!$E$30:$R$30))/(1-Assumptions!$C$119)+M9-(SUM(Credits!$E$31:$R$31))/(1-Assumptions!$C$119)+N9-(SUM(Credits!$E$32:$R$32))/(1-Assumptions!$C$119)+O9-(SUM(Credits!$E$33:$R$33))/(1-Assumptions!$C$119)+P9-(SUM(Credits!$E$34:$R$34))/(1-Assumptions!$C$119)+Q9-(SUM(Credits!$E$35:$R$35))/(1-Assumptions!$C$119)+R9-(SUM(Credits!$E$36:$R$36))/(1-Assumptions!$C$119)</f>
        <v>330266.745826756</v>
      </c>
      <c r="S57" s="65" t="n">
        <f aca="false">H9-(SUM(Credits!$E$26:$S$26))/(1-Assumptions!$C$119)+I9-(SUM(Credits!$E$27:$S$27))/(1-Assumptions!$C$119)+J9-(SUM(Credits!$E$28:$S$28))/(1-Assumptions!$C$119)+K9-(SUM(Credits!$E$29:$S$29))/(1-Assumptions!$C$119)+L9-(SUM(Credits!$E$30:$S$30))/(1-Assumptions!$C$119)+M9-(SUM(Credits!$E$31:$S$31))/(1-Assumptions!$C$119)+N9-(SUM(Credits!$E$32:$S$32))/(1-Assumptions!$C$119)+O9-(SUM(Credits!$E$33:$S$33))/(1-Assumptions!$C$119)+P9-(SUM(Credits!$E$34:$S$34))/(1-Assumptions!$C$119)+Q9-(SUM(Credits!$E$35:$S$35))/(1-Assumptions!$C$119)+R9-(SUM(Credits!$E$36:$S$36))/(1-Assumptions!$C$119)+S9-(SUM(Credits!$E$37:$S$37))/(1-Assumptions!$C$119)</f>
        <v>342165.631177259</v>
      </c>
      <c r="T57" s="65" t="n">
        <f aca="false">I9-(SUM(Credits!$E$27:$T$27))/(1-Assumptions!$C$119)+J9-(SUM(Credits!$E$28:$T$28))/(1-Assumptions!$C$119)+K9-(SUM(Credits!$E$29:$T$29))/(1-Assumptions!$C$119)+L9-(SUM(Credits!$E$30:$T$30))/(1-Assumptions!$C$119)+M9-(SUM(Credits!$E$31:$T$31))/(1-Assumptions!$C$119)+N9-(SUM(Credits!$E$32:$T$32))/(1-Assumptions!$C$119)+O9-(SUM(Credits!$E$33:$T$33))/(1-Assumptions!$C$119)+P9-(SUM(Credits!$E$34:$T$34))/(1-Assumptions!$C$119)+Q9-(SUM(Credits!$E$35:$T$35))/(1-Assumptions!$C$119)+R9-(SUM(Credits!$E$36:$T$36))/(1-Assumptions!$C$119)+S9-(SUM(Credits!$E$37:$T$37))/(1-Assumptions!$C$119)+T9-(SUM(Credits!$E$38:$T$38))/(1-Assumptions!$C$119)</f>
        <v>350851.42905147</v>
      </c>
      <c r="U57" s="65" t="n">
        <f aca="false">J9-(SUM(Credits!$E$28:$U$28))/(1-Assumptions!$C$119)+K9-(SUM(Credits!$E$29:$U$29))/(1-Assumptions!$C$119)+L9-(SUM(Credits!$E$30:$U$30))/(1-Assumptions!$C$119)+M9-(SUM(Credits!$E$31:$U$31))/(1-Assumptions!$C$119)+N9-(SUM(Credits!$E$32:$U$32))/(1-Assumptions!$C$119)+O9-(SUM(Credits!$E$33:$U$33))/(1-Assumptions!$C$119)+P9-(SUM(Credits!$E$34:$U$34))/(1-Assumptions!$C$119)+Q9-(SUM(Credits!$E$35:$U$35))/(1-Assumptions!$C$119)+R9-(SUM(Credits!$E$36:$U$36))/(1-Assumptions!$C$119)+S9-(SUM(Credits!$E$37:$U$37))/(1-Assumptions!$C$119)+T9-(SUM(Credits!$E$38:$U$38))/(1-Assumptions!$C$119)+U9-(SUM(Credits!$E$39:$U$39))/(1-Assumptions!$C$119)</f>
        <v>355348.504304276</v>
      </c>
      <c r="V57" s="65" t="n">
        <f aca="false">K9-(SUM(Credits!$E$29:$V$29))/(1-Assumptions!$C$119)+L9-(SUM(Credits!$E$30:$V$30))/(1-Assumptions!$C$119)+M9-(SUM(Credits!$E$31:$V$31))/(1-Assumptions!$C$119)+N9-(SUM(Credits!$E$32:$V$32))/(1-Assumptions!$C$119)+O9-(SUM(Credits!$E$33:$V$33))/(1-Assumptions!$C$119)+P9-(SUM(Credits!$E$34:$V$34))/(1-Assumptions!$C$119)+Q9-(SUM(Credits!$E$35:$V$35))/(1-Assumptions!$C$119)+R9-(SUM(Credits!$E$36:$V$36))/(1-Assumptions!$C$119)+S9-(SUM(Credits!$E$37:$V$37))/(1-Assumptions!$C$119)+T9-(SUM(Credits!$E$38:$V$38))/(1-Assumptions!$C$119)+U9-(SUM(Credits!$E$39:$V$39))/(1-Assumptions!$C$119)+V9-(SUM(Credits!$E$40:$V$40))/(1-Assumptions!$C$119)</f>
        <v>368821.108380866</v>
      </c>
      <c r="W57" s="65" t="n">
        <f aca="false">L9-(SUM(Credits!$E$30:$W$30))/(1-Assumptions!$C$119)+M9-(SUM(Credits!$E$31:$W$31))/(1-Assumptions!$C$119)+N9-(SUM(Credits!$E$32:$W$32))/(1-Assumptions!$C$119)+O9-(SUM(Credits!$E$33:$W$33))/(1-Assumptions!$C$119)+P9-(SUM(Credits!$E$34:$W$34))/(1-Assumptions!$C$119)+Q9-(SUM(Credits!$E$35:$W$35))/(1-Assumptions!$C$119)+R9-(SUM(Credits!$E$36:$W$36))/(1-Assumptions!$C$119)+S9-(SUM(Credits!$E$37:$W$37))/(1-Assumptions!$C$119)+T9-(SUM(Credits!$E$38:$W$38))/(1-Assumptions!$C$119)+U9-(SUM(Credits!$E$39:$W$39))/(1-Assumptions!$C$119)+V9-(SUM(Credits!$E$40:$W$40))/(1-Assumptions!$C$119)+W9-(SUM(Credits!$E$41:$W$41))/(1-Assumptions!$C$119)</f>
        <v>372514.921028608</v>
      </c>
      <c r="X57" s="65" t="n">
        <f aca="false">M9-(SUM(Credits!$E$31:$X$31))/(1-Assumptions!$C$119)+N9-(SUM(Credits!$E$32:$X$32))/(1-Assumptions!$C$119)+O9-(SUM(Credits!$E$33:$X$33))/(1-Assumptions!$C$119)+P9-(SUM(Credits!$E$34:$X$34))/(1-Assumptions!$C$119)+Q9-(SUM(Credits!$E$35:$X$35))/(1-Assumptions!$C$119)+R9-(SUM(Credits!$E$36:$X$36))/(1-Assumptions!$C$119)+S9-(SUM(Credits!$E$37:$X$37))/(1-Assumptions!$C$119)+T9-(SUM(Credits!$E$38:$X$38))/(1-Assumptions!$C$119)+U9-(SUM(Credits!$E$39:$X$39))/(1-Assumptions!$C$119)+V9-(SUM(Credits!$E$40:$X$40))/(1-Assumptions!$C$119)+W9-(SUM(Credits!$E$41:$X$41))/(1-Assumptions!$C$119)+X9-(SUM(Credits!$E$42:$X$42))/(1-Assumptions!$C$119)</f>
        <v>368336.992648415</v>
      </c>
      <c r="Y57" s="65" t="n">
        <f aca="false">N9-(SUM(Credits!$E$32:$Y$32))/(1-Assumptions!$C$119)+O9-(SUM(Credits!$E$33:$Y$33))/(1-Assumptions!$C$119)+P9-(SUM(Credits!$E$34:$Y$34))/(1-Assumptions!$C$119)+Q9-(SUM(Credits!$E$35:$Y$35))/(1-Assumptions!$C$119)+R9-(SUM(Credits!$E$36:$Y$36))/(1-Assumptions!$C$119)+S9-(SUM(Credits!$E$37:$Y$37))/(1-Assumptions!$C$119)+T9-(SUM(Credits!$E$38:$Y$38))/(1-Assumptions!$C$119)+U9-(SUM(Credits!$E$39:$Y$39))/(1-Assumptions!$C$119)+V9-(SUM(Credits!$E$40:$Y$40))/(1-Assumptions!$C$119)+W9-(SUM(Credits!$E$41:$Y$41))/(1-Assumptions!$C$119)+X9-(SUM(Credits!$E$42:$Y$42))/(1-Assumptions!$C$119)+Y9-(SUM(Credits!$E$43:$Y$43))/(1-Assumptions!$C$119)</f>
        <v>389279.490701897</v>
      </c>
      <c r="Z57" s="65" t="n">
        <f aca="false">O9-(SUM(Credits!$E$33:$Z$33))/(1-Assumptions!$C$119)+P9-(SUM(Credits!$E$34:$Z$34))/(1-Assumptions!$C$119)+Q9-(SUM(Credits!$E$35:$Z$35))/(1-Assumptions!$C$119)+R9-(SUM(Credits!$E$36:$Z$36))/(1-Assumptions!$C$119)+S9-(SUM(Credits!$E$37:$Z$37))/(1-Assumptions!$C$119)+T9-(SUM(Credits!$E$38:$Z$38))/(1-Assumptions!$C$119)+U9-(SUM(Credits!$E$39:$Z$39))/(1-Assumptions!$C$119)+V9-(SUM(Credits!$E$40:$Z$40))/(1-Assumptions!$C$119)+W9-(SUM(Credits!$E$41:$Z$41))/(1-Assumptions!$C$119)+X9-(SUM(Credits!$E$42:$Z$42))/(1-Assumptions!$C$119)+Y9-(SUM(Credits!$E$43:$Z$43))/(1-Assumptions!$C$119)+Z9-(SUM(Credits!$E$44:$Z$44))/(1-Assumptions!$C$119)</f>
        <v>409347.861639285</v>
      </c>
      <c r="AA57" s="65" t="n">
        <f aca="false">P9-(SUM(Credits!$E$34:$AA$34))/(1-Assumptions!$C$119)+Q9-(SUM(Credits!$E$35:$AA$35))/(1-Assumptions!$C$119)+R9-(SUM(Credits!$E$36:$AA$36))/(1-Assumptions!$C$119)+S9-(SUM(Credits!$E$37:$AA$37))/(1-Assumptions!$C$119)+T9-(SUM(Credits!$E$38:$AA$38))/(1-Assumptions!$C$119)+U9-(SUM(Credits!$E$39:$AA$39))/(1-Assumptions!$C$119)+V9-(SUM(Credits!$E$40:$AA$40))/(1-Assumptions!$C$119)+W9-(SUM(Credits!$E$41:$AA$41))/(1-Assumptions!$C$119)+X9-(SUM(Credits!$E$42:$AA$42))/(1-Assumptions!$C$119)+Y9-(SUM(Credits!$E$43:$AA$43))/(1-Assumptions!$C$119)+Z9-(SUM(Credits!$E$44:$AA$44))/(1-Assumptions!$C$119)+AA9-(SUM(Credits!$E$45:$AA$45))/(1-Assumptions!$C$119)</f>
        <v>425122.467249482</v>
      </c>
      <c r="AB57" s="65" t="n">
        <f aca="false">Q9-(SUM(Credits!$E$35:$AB$35))/(1-Assumptions!$C$119)+R9-(SUM(Credits!$E$36:$AB$36))/(1-Assumptions!$C$119)+S9-(SUM(Credits!$E$37:$AB$37))/(1-Assumptions!$C$119)+T9-(SUM(Credits!$E$38:$AB$38))/(1-Assumptions!$C$119)+U9-(SUM(Credits!$E$39:$AB$39))/(1-Assumptions!$C$119)+V9-(SUM(Credits!$E$40:$AB$40))/(1-Assumptions!$C$119)+W9-(SUM(Credits!$E$41:$AB$41))/(1-Assumptions!$C$119)+X9-(SUM(Credits!$E$42:$AB$42))/(1-Assumptions!$C$119)+Y9-(SUM(Credits!$E$43:$AB$43))/(1-Assumptions!$C$119)+Z9-(SUM(Credits!$E$44:$AB$44))/(1-Assumptions!$C$119)+AA9-(SUM(Credits!$E$45:$AB$45))/(1-Assumptions!$C$119)+AB9-(SUM(Credits!$E$46:$AB$46))/(1-Assumptions!$C$119)</f>
        <v>435031.368458792</v>
      </c>
    </row>
    <row r="58" customFormat="false" ht="15" hidden="false" customHeight="false" outlineLevel="0" collapsed="false">
      <c r="A58" s="28" t="s">
        <v>854</v>
      </c>
      <c r="B58" s="62"/>
      <c r="C58" s="64" t="n">
        <f aca="false">SUM(E58:P58)</f>
        <v>0</v>
      </c>
      <c r="D58" s="64" t="n">
        <f aca="false">SUM(Q58:AB58)</f>
        <v>0</v>
      </c>
      <c r="E58" s="73" t="n">
        <f aca="false">ROUND(E56-E57,0)</f>
        <v>-0</v>
      </c>
      <c r="F58" s="73" t="n">
        <f aca="false">ROUND(F56-F57,0)</f>
        <v>-0</v>
      </c>
      <c r="G58" s="73" t="n">
        <f aca="false">ROUND(G56-G57,0)</f>
        <v>-0</v>
      </c>
      <c r="H58" s="73" t="n">
        <f aca="false">ROUND(H56-H57,0)</f>
        <v>-0</v>
      </c>
      <c r="I58" s="73" t="n">
        <f aca="false">ROUND(I56-I57,0)</f>
        <v>-0</v>
      </c>
      <c r="J58" s="73" t="n">
        <f aca="false">ROUND(J56-J57,0)</f>
        <v>-0</v>
      </c>
      <c r="K58" s="73" t="n">
        <f aca="false">ROUND(K56-K57,0)</f>
        <v>-0</v>
      </c>
      <c r="L58" s="73" t="n">
        <f aca="false">ROUND(L56-L57,0)</f>
        <v>-0</v>
      </c>
      <c r="M58" s="73" t="n">
        <f aca="false">ROUND(M56-M57,0)</f>
        <v>-0</v>
      </c>
      <c r="N58" s="73" t="n">
        <f aca="false">ROUND(N56-N57,0)</f>
        <v>-0</v>
      </c>
      <c r="O58" s="73" t="n">
        <f aca="false">ROUND(O56-O57,0)</f>
        <v>-0</v>
      </c>
      <c r="P58" s="73" t="n">
        <f aca="false">ROUND(P56-P57,0)</f>
        <v>-0</v>
      </c>
      <c r="Q58" s="73" t="n">
        <f aca="false">ROUND(Q56-Q57,0)</f>
        <v>-0</v>
      </c>
      <c r="R58" s="73" t="n">
        <f aca="false">ROUND(R56-R57,0)</f>
        <v>-0</v>
      </c>
      <c r="S58" s="73" t="n">
        <f aca="false">ROUND(S56-S57,0)</f>
        <v>-0</v>
      </c>
      <c r="T58" s="73" t="n">
        <f aca="false">ROUND(T56-T57,0)</f>
        <v>-0</v>
      </c>
      <c r="U58" s="73" t="n">
        <f aca="false">ROUND(U56-U57,0)</f>
        <v>-0</v>
      </c>
      <c r="V58" s="73" t="n">
        <f aca="false">ROUND(V56-V57,0)</f>
        <v>-0</v>
      </c>
      <c r="W58" s="73" t="n">
        <f aca="false">ROUND(W56-W57,0)</f>
        <v>-0</v>
      </c>
      <c r="X58" s="73" t="n">
        <f aca="false">ROUND(X56-X57,0)</f>
        <v>-0</v>
      </c>
      <c r="Y58" s="73" t="n">
        <f aca="false">ROUND(Y56-Y57,0)</f>
        <v>-0</v>
      </c>
      <c r="Z58" s="73" t="n">
        <f aca="false">ROUND(Z56-Z57,0)</f>
        <v>-0</v>
      </c>
      <c r="AA58" s="73" t="n">
        <f aca="false">ROUND(AA56-AA57,0)</f>
        <v>-0</v>
      </c>
      <c r="AB58" s="73" t="n">
        <f aca="false">ROUND(AB56-AB57,0)</f>
        <v>-0</v>
      </c>
    </row>
    <row r="59" customFormat="false" ht="15" hidden="false" customHeight="false" outlineLevel="0" collapsed="false">
      <c r="A59" s="28" t="s">
        <v>855</v>
      </c>
      <c r="B59" s="62" t="s">
        <v>856</v>
      </c>
      <c r="C59" s="64" t="n">
        <f aca="false">P59</f>
        <v>408259.7560367</v>
      </c>
      <c r="D59" s="64" t="n">
        <f aca="false">AB59</f>
        <v>581925.117953878</v>
      </c>
      <c r="E59" s="65" t="n">
        <f aca="false">History!$C$90-(History!$D$90+SUM(Credits!$E$12:$E$12))+History!$C$91-(History!$D$91+SUM(Credits!$E$13:$E$13))+History!$C$92-(History!$D$92+SUM(Credits!$E$14:$E$14))+History!$C$93-(History!$D$93+SUM(Credits!$E$15:$E$15))+History!$C$94-(History!$D$94+SUM(Credits!$E$16:$E$16))+History!$C$95-(History!$D$95+SUM(Credits!$E$17:$E$17))+History!$C$96-(History!$D$96+SUM(Credits!$E$18:$E$18))+History!$C$97-(History!$D$97+SUM(Credits!$E$19:$E$19))+History!$C$98-(History!$D$98+SUM(Credits!$E$20:$E$20))+History!$C$99-(History!$D$99+SUM(Credits!$E$21:$E$21))+History!$C$100-(History!$D$100+SUM(Credits!$E$22:$E$22))+E9-(SUM(Credits!$E$23:$E$23))</f>
        <v>286234.11</v>
      </c>
      <c r="F59" s="65" t="n">
        <f aca="false">History!$C$91-(History!$D$91+SUM(Credits!$E$13:$F$13))+History!$C$92-(History!$D$92+SUM(Credits!$E$14:$F$14))+History!$C$93-(History!$D$93+SUM(Credits!$E$15:$F$15))+History!$C$94-(History!$D$94+SUM(Credits!$E$16:$F$16))+History!$C$95-(History!$D$95+SUM(Credits!$E$17:$F$17))+History!$C$96-(History!$D$96+SUM(Credits!$E$18:$F$18))+History!$C$97-(History!$D$97+SUM(Credits!$E$19:$F$19))+History!$C$98-(History!$D$98+SUM(Credits!$E$20:$F$20))+History!$C$99-(History!$D$99+SUM(Credits!$E$21:$F$21))+History!$C$100-(History!$D$100+SUM(Credits!$E$22:$F$22))+E9-(SUM(Credits!$E$23:$F$23))+F9-(SUM(Credits!$E$24:$F$24))</f>
        <v>297726.42</v>
      </c>
      <c r="G59" s="65" t="n">
        <f aca="false">History!$C$92-(History!$D$92+SUM(Credits!$E$14:$G$14))+History!$C$93-(History!$D$93+SUM(Credits!$E$15:$G$15))+History!$C$94-(History!$D$94+SUM(Credits!$E$16:$G$16))+History!$C$95-(History!$D$95+SUM(Credits!$E$17:$G$17))+History!$C$96-(History!$D$96+SUM(Credits!$E$18:$G$18))+History!$C$97-(History!$D$97+SUM(Credits!$E$19:$G$19))+History!$C$98-(History!$D$98+SUM(Credits!$E$20:$G$20))+History!$C$99-(History!$D$99+SUM(Credits!$E$21:$G$21))+History!$C$100-(History!$D$100+SUM(Credits!$E$22:$G$22))+E9-(SUM(Credits!$E$23:$G$23))+F9-(SUM(Credits!$E$24:$G$24))+G9-(SUM(Credits!$E$25:$G$25))</f>
        <v>310846.95</v>
      </c>
      <c r="H59" s="65" t="n">
        <f aca="false">History!$C$93-(History!$D$93+SUM(Credits!$E$15:$H$15))+History!$C$94-(History!$D$94+SUM(Credits!$E$16:$H$16))+History!$C$95-(History!$D$95+SUM(Credits!$E$17:$H$17))+History!$C$96-(History!$D$96+SUM(Credits!$E$18:$H$18))+History!$C$97-(History!$D$97+SUM(Credits!$E$19:$H$19))+History!$C$98-(History!$D$98+SUM(Credits!$E$20:$H$20))+History!$C$99-(History!$D$99+SUM(Credits!$E$21:$H$21))+History!$C$100-(History!$D$100+SUM(Credits!$E$22:$H$22))+E9-(SUM(Credits!$E$23:$H$23))+F9-(SUM(Credits!$E$24:$H$24))+G9-(SUM(Credits!$E$25:$H$25))+H9-(SUM(Credits!$E$26:$H$26))</f>
        <v>314708.38</v>
      </c>
      <c r="I59" s="65" t="n">
        <f aca="false">History!$C$94-(History!$D$94+SUM(Credits!$E$16:$I$16))+History!$C$95-(History!$D$95+SUM(Credits!$E$17:$I$17))+History!$C$96-(History!$D$96+SUM(Credits!$E$18:$I$18))+History!$C$97-(History!$D$97+SUM(Credits!$E$19:$I$19))+History!$C$98-(History!$D$98+SUM(Credits!$E$20:$I$20))+History!$C$99-(History!$D$99+SUM(Credits!$E$21:$I$21))+History!$C$100-(History!$D$100+SUM(Credits!$E$22:$I$22))+E9-(SUM(Credits!$E$23:$I$23))+F9-(SUM(Credits!$E$24:$I$24))+G9-(SUM(Credits!$E$25:$I$25))+H9-(SUM(Credits!$E$26:$I$26))+I9-(SUM(Credits!$E$27:$I$27))</f>
        <v>322817.13</v>
      </c>
      <c r="J59" s="65" t="n">
        <f aca="false">History!$C$95-(History!$D$95+SUM(Credits!$E$17:$J$17))+History!$C$96-(History!$D$96+SUM(Credits!$E$18:$J$18))+History!$C$97-(History!$D$97+SUM(Credits!$E$19:$J$19))+History!$C$98-(History!$D$98+SUM(Credits!$E$20:$J$20))+History!$C$99-(History!$D$99+SUM(Credits!$E$21:$J$21))+History!$C$100-(History!$D$100+SUM(Credits!$E$22:$J$22))+E9-(SUM(Credits!$E$23:$J$23))+F9-(SUM(Credits!$E$24:$J$24))+G9-(SUM(Credits!$E$25:$J$25))+H9-(SUM(Credits!$E$26:$J$26))+I9-(SUM(Credits!$E$27:$J$27))+J9-(SUM(Credits!$E$28:$J$28))</f>
        <v>329260.02</v>
      </c>
      <c r="K59" s="65" t="n">
        <f aca="false">History!$C$96-(History!$D$96+SUM(Credits!$E$18:$K$18))+History!$C$97-(History!$D$97+SUM(Credits!$E$19:$K$19))+History!$C$98-(History!$D$98+SUM(Credits!$E$20:$K$20))+History!$C$99-(History!$D$99+SUM(Credits!$E$21:$K$21))+History!$C$100-(History!$D$100+SUM(Credits!$E$22:$K$22))+E9-(SUM(Credits!$E$23:$K$23))+F9-(SUM(Credits!$E$24:$K$24))+G9-(SUM(Credits!$E$25:$K$25))+H9-(SUM(Credits!$E$26:$K$26))+I9-(SUM(Credits!$E$27:$K$27))+J9-(SUM(Credits!$E$28:$K$28))+K9-(SUM(Credits!$E$29:$K$29))</f>
        <v>337692.52</v>
      </c>
      <c r="L59" s="65" t="n">
        <f aca="false">History!$C$97-(History!$D$97+SUM(Credits!$E$19:$L$19))+History!$C$98-(History!$D$98+SUM(Credits!$E$20:$L$20))+History!$C$99-(History!$D$99+SUM(Credits!$E$21:$L$21))+History!$C$100-(History!$D$100+SUM(Credits!$E$22:$L$22))+E9-(SUM(Credits!$E$23:$L$23))+F9-(SUM(Credits!$E$24:$L$24))+G9-(SUM(Credits!$E$25:$L$25))+H9-(SUM(Credits!$E$26:$L$26))+I9-(SUM(Credits!$E$27:$L$27))+J9-(SUM(Credits!$E$28:$L$28))+K9-(SUM(Credits!$E$29:$L$29))+L9-(SUM(Credits!$E$30:$L$30))</f>
        <v>341661.68</v>
      </c>
      <c r="M59" s="65" t="n">
        <f aca="false">History!$C$98-(History!$D$98+SUM(Credits!$E$20:$M$20))+History!$C$99-(History!$D$99+SUM(Credits!$E$21:$M$21))+History!$C$100-(History!$D$100+SUM(Credits!$E$22:$M$22))+E9-(SUM(Credits!$E$23:$M$23))+F9-(SUM(Credits!$E$24:$M$24))+G9-(SUM(Credits!$E$25:$M$25))+H9-(SUM(Credits!$E$26:$M$26))+I9-(SUM(Credits!$E$27:$M$27))+J9-(SUM(Credits!$E$28:$M$28))+K9-(SUM(Credits!$E$29:$M$29))+L9-(SUM(Credits!$E$30:$M$30))+M9-(SUM(Credits!$E$31:$M$31))</f>
        <v>360126.014133534</v>
      </c>
      <c r="N59" s="65" t="n">
        <f aca="false">History!$C$99-(History!$D$99+SUM(Credits!$E$21:$N$21))+History!$C$100-(History!$D$100+SUM(Credits!$E$22:$N$22))+E9-(SUM(Credits!$E$23:$N$23))+F9-(SUM(Credits!$E$24:$N$24))+G9-(SUM(Credits!$E$25:$N$25))+H9-(SUM(Credits!$E$26:$N$26))+I9-(SUM(Credits!$E$27:$N$27))+J9-(SUM(Credits!$E$28:$N$28))+K9-(SUM(Credits!$E$29:$N$29))+L9-(SUM(Credits!$E$30:$N$30))+M9-(SUM(Credits!$E$31:$N$31))+N9-(SUM(Credits!$E$32:$N$32))</f>
        <v>378759.347557037</v>
      </c>
      <c r="O59" s="65" t="n">
        <f aca="false">History!$C$100-(History!$D$100+SUM(Credits!$E$22:$O$22))+E9-(SUM(Credits!$E$23:$O$23))+F9-(SUM(Credits!$E$24:$O$24))+G9-(SUM(Credits!$E$25:$O$25))+H9-(SUM(Credits!$E$26:$O$26))+I9-(SUM(Credits!$E$27:$O$27))+J9-(SUM(Credits!$E$28:$O$28))+K9-(SUM(Credits!$E$29:$O$29))+L9-(SUM(Credits!$E$30:$O$30))+M9-(SUM(Credits!$E$31:$O$31))+N9-(SUM(Credits!$E$32:$O$32))+O9-(SUM(Credits!$E$33:$O$33))</f>
        <v>393337.639705472</v>
      </c>
      <c r="P59" s="65" t="n">
        <f aca="false">E9-(SUM(Credits!$E$23:$P$23))+F9-(SUM(Credits!$E$24:$P$24))+G9-(SUM(Credits!$E$25:$P$25))+H9-(SUM(Credits!$E$26:$P$26))+I9-(SUM(Credits!$E$27:$P$27))+J9-(SUM(Credits!$E$28:$P$28))+K9-(SUM(Credits!$E$29:$P$29))+L9-(SUM(Credits!$E$30:$P$30))+M9-(SUM(Credits!$E$31:$P$31))+N9-(SUM(Credits!$E$32:$P$32))+O9-(SUM(Credits!$E$33:$P$33))+P9-(SUM(Credits!$E$34:$P$34))</f>
        <v>408259.7560367</v>
      </c>
      <c r="Q59" s="65" t="n">
        <f aca="false">F9-(SUM(Credits!$E$24:$Q$24))+G9-(SUM(Credits!$E$25:$Q$25))+H9-(SUM(Credits!$E$26:$Q$26))+I9-(SUM(Credits!$E$27:$Q$27))+J9-(SUM(Credits!$E$28:$Q$28))+K9-(SUM(Credits!$E$29:$Q$29))+L9-(SUM(Credits!$E$30:$Q$30))+M9-(SUM(Credits!$E$31:$Q$31))+N9-(SUM(Credits!$E$32:$Q$32))+O9-(SUM(Credits!$E$33:$Q$33))+P9-(SUM(Credits!$E$34:$Q$34))+Q9-(SUM(Credits!$E$35:$Q$35))</f>
        <v>423834.834318252</v>
      </c>
      <c r="R59" s="65" t="n">
        <f aca="false">G9-(SUM(Credits!$E$25:$R$25))+H9-(SUM(Credits!$E$26:$R$26))+I9-(SUM(Credits!$E$27:$R$27))+J9-(SUM(Credits!$E$28:$R$28))+K9-(SUM(Credits!$E$29:$R$29))+L9-(SUM(Credits!$E$30:$R$30))+M9-(SUM(Credits!$E$31:$R$31))+N9-(SUM(Credits!$E$32:$R$32))+O9-(SUM(Credits!$E$33:$R$33))+P9-(SUM(Credits!$E$34:$R$34))+Q9-(SUM(Credits!$E$35:$R$35))+R9-(SUM(Credits!$E$36:$R$36))</f>
        <v>438291.622164184</v>
      </c>
      <c r="S59" s="65" t="n">
        <f aca="false">H9-(SUM(Credits!$E$26:$S$26))+I9-(SUM(Credits!$E$27:$S$27))+J9-(SUM(Credits!$E$28:$S$28))+K9-(SUM(Credits!$E$29:$S$29))+L9-(SUM(Credits!$E$30:$S$30))+M9-(SUM(Credits!$E$31:$S$31))+N9-(SUM(Credits!$E$32:$S$32))+O9-(SUM(Credits!$E$33:$S$33))+P9-(SUM(Credits!$E$34:$S$34))+Q9-(SUM(Credits!$E$35:$S$35))+R9-(SUM(Credits!$E$36:$S$36))+S9-(SUM(Credits!$E$37:$S$37))</f>
        <v>453123.318760443</v>
      </c>
      <c r="T59" s="65" t="n">
        <f aca="false">I9-(SUM(Credits!$E$27:$T$27))+J9-(SUM(Credits!$E$28:$T$28))+K9-(SUM(Credits!$E$29:$T$29))+L9-(SUM(Credits!$E$30:$T$30))+M9-(SUM(Credits!$E$31:$T$31))+N9-(SUM(Credits!$E$32:$T$32))+O9-(SUM(Credits!$E$33:$T$33))+P9-(SUM(Credits!$E$34:$T$34))+Q9-(SUM(Credits!$E$35:$T$35))+R9-(SUM(Credits!$E$36:$T$36))+S9-(SUM(Credits!$E$37:$T$37))+T9-(SUM(Credits!$E$38:$T$38))</f>
        <v>465857.695628831</v>
      </c>
      <c r="U59" s="65" t="n">
        <f aca="false">J9-(SUM(Credits!$E$28:$U$28))+K9-(SUM(Credits!$E$29:$U$29))+L9-(SUM(Credits!$E$30:$U$30))+M9-(SUM(Credits!$E$31:$U$31))+N9-(SUM(Credits!$E$32:$U$32))+O9-(SUM(Credits!$E$33:$U$33))+P9-(SUM(Credits!$E$34:$U$34))+Q9-(SUM(Credits!$E$35:$U$35))+R9-(SUM(Credits!$E$36:$U$36))+S9-(SUM(Credits!$E$37:$U$37))+T9-(SUM(Credits!$E$38:$U$38))+U9-(SUM(Credits!$E$39:$U$39))</f>
        <v>474814.220536664</v>
      </c>
      <c r="V59" s="65" t="n">
        <f aca="false">K9-(SUM(Credits!$E$29:$V$29))+L9-(SUM(Credits!$E$30:$V$30))+M9-(SUM(Credits!$E$31:$V$31))+N9-(SUM(Credits!$E$32:$V$32))+O9-(SUM(Credits!$E$33:$V$33))+P9-(SUM(Credits!$E$34:$V$34))+Q9-(SUM(Credits!$E$35:$V$35))+R9-(SUM(Credits!$E$36:$V$36))+S9-(SUM(Credits!$E$37:$V$37))+T9-(SUM(Credits!$E$38:$V$38))+U9-(SUM(Credits!$E$39:$V$39))+V9-(SUM(Credits!$E$40:$V$40))</f>
        <v>492197.103467956</v>
      </c>
      <c r="W59" s="65" t="n">
        <f aca="false">L9-(SUM(Credits!$E$30:$W$30))+M9-(SUM(Credits!$E$31:$W$31))+N9-(SUM(Credits!$E$32:$W$32))+O9-(SUM(Credits!$E$33:$W$33))+P9-(SUM(Credits!$E$34:$W$34))+Q9-(SUM(Credits!$E$35:$W$35))+R9-(SUM(Credits!$E$36:$W$36))+S9-(SUM(Credits!$E$37:$W$37))+T9-(SUM(Credits!$E$38:$W$38))+U9-(SUM(Credits!$E$39:$W$39))+V9-(SUM(Credits!$E$40:$W$40))+W9-(SUM(Credits!$E$41:$W$41))</f>
        <v>499943.846570995</v>
      </c>
      <c r="X59" s="65" t="n">
        <f aca="false">M9-(SUM(Credits!$E$31:$X$31))+N9-(SUM(Credits!$E$32:$X$32))+O9-(SUM(Credits!$E$33:$X$33))+P9-(SUM(Credits!$E$34:$X$34))+Q9-(SUM(Credits!$E$35:$X$35))+R9-(SUM(Credits!$E$36:$X$36))+S9-(SUM(Credits!$E$37:$X$37))+T9-(SUM(Credits!$E$38:$X$38))+U9-(SUM(Credits!$E$39:$X$39))+V9-(SUM(Credits!$E$40:$X$40))+W9-(SUM(Credits!$E$41:$X$41))+X9-(SUM(Credits!$E$42:$X$42))</f>
        <v>500475.815901566</v>
      </c>
      <c r="Y59" s="65" t="n">
        <f aca="false">N9-(SUM(Credits!$E$32:$Y$32))+O9-(SUM(Credits!$E$33:$Y$33))+P9-(SUM(Credits!$E$34:$Y$34))+Q9-(SUM(Credits!$E$35:$Y$35))+R9-(SUM(Credits!$E$36:$Y$36))+S9-(SUM(Credits!$E$37:$Y$37))+T9-(SUM(Credits!$E$38:$Y$38))+U9-(SUM(Credits!$E$39:$Y$39))+V9-(SUM(Credits!$E$40:$Y$40))+W9-(SUM(Credits!$E$41:$Y$41))+X9-(SUM(Credits!$E$42:$Y$42))+Y9-(SUM(Credits!$E$43:$Y$43))</f>
        <v>524434.714991122</v>
      </c>
      <c r="Z59" s="65" t="n">
        <f aca="false">O9-(SUM(Credits!$E$33:$Z$33))+P9-(SUM(Credits!$E$34:$Z$34))+Q9-(SUM(Credits!$E$35:$Z$35))+R9-(SUM(Credits!$E$36:$Z$36))+S9-(SUM(Credits!$E$37:$Z$37))+T9-(SUM(Credits!$E$38:$Z$38))+U9-(SUM(Credits!$E$39:$Z$39))+V9-(SUM(Credits!$E$40:$Z$40))+W9-(SUM(Credits!$E$41:$Z$41))+X9-(SUM(Credits!$E$42:$Z$42))+Y9-(SUM(Credits!$E$43:$Z$43))+Z9-(SUM(Credits!$E$44:$Z$44))</f>
        <v>547842.760387532</v>
      </c>
      <c r="AA59" s="65" t="n">
        <f aca="false">P9-(SUM(Credits!$E$34:$AA$34))+Q9-(SUM(Credits!$E$35:$AA$35))+R9-(SUM(Credits!$E$36:$AA$36))+S9-(SUM(Credits!$E$37:$AA$37))+T9-(SUM(Credits!$E$38:$AA$38))+U9-(SUM(Credits!$E$39:$AA$39))+V9-(SUM(Credits!$E$40:$AA$40))+W9-(SUM(Credits!$E$41:$AA$41))+X9-(SUM(Credits!$E$42:$AA$42))+Y9-(SUM(Credits!$E$43:$AA$43))+Z9-(SUM(Credits!$E$44:$AA$44))+AA9-(SUM(Credits!$E$45:$AA$45))</f>
        <v>567508.611266817</v>
      </c>
      <c r="AB59" s="65" t="n">
        <f aca="false">Q9-(SUM(Credits!$E$35:$AB$35))+R9-(SUM(Credits!$E$36:$AB$36))+S9-(SUM(Credits!$E$37:$AB$37))+T9-(SUM(Credits!$E$38:$AB$38))+U9-(SUM(Credits!$E$39:$AB$39))+V9-(SUM(Credits!$E$40:$AB$40))+W9-(SUM(Credits!$E$41:$AB$41))+X9-(SUM(Credits!$E$42:$AB$42))+Y9-(SUM(Credits!$E$43:$AB$43))+Z9-(SUM(Credits!$E$44:$AB$44))+AA9-(SUM(Credits!$E$45:$AB$45))+AB9-(SUM(Credits!$E$46:$AB$46))</f>
        <v>581925.117953878</v>
      </c>
    </row>
    <row r="60" customFormat="false" ht="15" hidden="false" customHeight="false" outlineLevel="0" collapsed="false">
      <c r="A60" s="22" t="s">
        <v>857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row>
    <row r="61" customFormat="false" ht="15" hidden="false" customHeight="false" outlineLevel="0" collapsed="false">
      <c r="A61" s="28" t="s">
        <v>858</v>
      </c>
      <c r="B61" s="62" t="s">
        <v>859</v>
      </c>
      <c r="C61" s="64" t="n">
        <f aca="false">SUM(E61:P61)</f>
        <v>1232104.71795884</v>
      </c>
      <c r="D61" s="64" t="n">
        <f aca="false">SUM(Q61:AB61)</f>
        <v>1775286.16391542</v>
      </c>
      <c r="E61" s="65" t="n">
        <f aca="false">E9*(1+Assumptions!$C$18*Assumptions!$C$21)</f>
        <v>82574.3182</v>
      </c>
      <c r="F61" s="65" t="n">
        <f aca="false">F9*(1+Assumptions!$C$18*Assumptions!$C$21)</f>
        <v>96833.2452</v>
      </c>
      <c r="G61" s="65" t="n">
        <f aca="false">G9*(1+Assumptions!$C$18*Assumptions!$C$21)</f>
        <v>99393.049</v>
      </c>
      <c r="H61" s="65" t="n">
        <f aca="false">H9*(1+Assumptions!$C$18*Assumptions!$C$21)</f>
        <v>91653.953</v>
      </c>
      <c r="I61" s="65" t="n">
        <f aca="false">I9*(1+Assumptions!$C$18*Assumptions!$C$21)</f>
        <v>95164.9975</v>
      </c>
      <c r="J61" s="65" t="n">
        <f aca="false">J9*(1+Assumptions!$C$18*Assumptions!$C$21)</f>
        <v>96111.4446</v>
      </c>
      <c r="K61" s="65" t="n">
        <f aca="false">K9*(1+Assumptions!$C$18*Assumptions!$C$21)</f>
        <v>100392.1936</v>
      </c>
      <c r="L61" s="65" t="n">
        <f aca="false">L9*(1+Assumptions!$C$18*Assumptions!$C$21)</f>
        <v>93357.7889</v>
      </c>
      <c r="M61" s="65" t="n">
        <f aca="false">M9*(1+Assumptions!$C$18*Assumptions!$C$21)</f>
        <v>115803.769233267</v>
      </c>
      <c r="N61" s="65" t="n">
        <f aca="false">N9*(1+Assumptions!$C$18*Assumptions!$C$21)</f>
        <v>120377.240870891</v>
      </c>
      <c r="O61" s="65" t="n">
        <f aca="false">O9*(1+Assumptions!$C$18*Assumptions!$C$21)</f>
        <v>121137.865358316</v>
      </c>
      <c r="P61" s="65" t="n">
        <f aca="false">P9*(1+Assumptions!$C$18*Assumptions!$C$21)</f>
        <v>119304.852496364</v>
      </c>
      <c r="Q61" s="65" t="n">
        <f aca="false">Q9*(1+Assumptions!$C$18*Assumptions!$C$21)</f>
        <v>131539.461285126</v>
      </c>
      <c r="R61" s="65" t="n">
        <f aca="false">R9*(1+Assumptions!$C$18*Assumptions!$C$21)</f>
        <v>132370.616199396</v>
      </c>
      <c r="S61" s="65" t="n">
        <f aca="false">S9*(1+Assumptions!$C$18*Assumptions!$C$21)</f>
        <v>138275.756599697</v>
      </c>
      <c r="T61" s="65" t="n">
        <f aca="false">T9*(1+Assumptions!$C$18*Assumptions!$C$21)</f>
        <v>137047.586090152</v>
      </c>
      <c r="U61" s="65" t="n">
        <f aca="false">U9*(1+Assumptions!$C$18*Assumptions!$C$21)</f>
        <v>139740.294111154</v>
      </c>
      <c r="V61" s="65" t="n">
        <f aca="false">V9*(1+Assumptions!$C$18*Assumptions!$C$21)</f>
        <v>145393.784083042</v>
      </c>
      <c r="W61" s="65" t="n">
        <f aca="false">W9*(1+Assumptions!$C$18*Assumptions!$C$21)</f>
        <v>140483.203026154</v>
      </c>
      <c r="X61" s="65" t="n">
        <f aca="false">X9*(1+Assumptions!$C$18*Assumptions!$C$21)</f>
        <v>130883.993454171</v>
      </c>
      <c r="Y61" s="65" t="n">
        <f aca="false">Y9*(1+Assumptions!$C$18*Assumptions!$C$21)</f>
        <v>165108.484722153</v>
      </c>
      <c r="Z61" s="65" t="n">
        <f aca="false">Z9*(1+Assumptions!$C$18*Assumptions!$C$21)</f>
        <v>171629.161700178</v>
      </c>
      <c r="AA61" s="65" t="n">
        <f aca="false">AA9*(1+Assumptions!$C$18*Assumptions!$C$21)</f>
        <v>172713.630343925</v>
      </c>
      <c r="AB61" s="65" t="n">
        <f aca="false">AB9*(1+Assumptions!$C$18*Assumptions!$C$21)</f>
        <v>170100.192300269</v>
      </c>
    </row>
    <row r="62" customFormat="false" ht="15" hidden="false" customHeight="false" outlineLevel="0" collapsed="false">
      <c r="A62" s="28" t="s">
        <v>860</v>
      </c>
      <c r="B62" s="62" t="s">
        <v>861</v>
      </c>
      <c r="C62" s="67" t="n">
        <f aca="false">SUM(E62:P62)</f>
        <v>7676.66490940086</v>
      </c>
      <c r="D62" s="67" t="n">
        <f aca="false">SUM(Q62:AB62)</f>
        <v>11060.9729838967</v>
      </c>
      <c r="E62" s="68" t="n">
        <f aca="false">E9/Assumptions!$C$129</f>
        <v>514.481733333333</v>
      </c>
      <c r="F62" s="68" t="n">
        <f aca="false">F9/Assumptions!$C$129</f>
        <v>603.3224</v>
      </c>
      <c r="G62" s="68" t="n">
        <f aca="false">G9/Assumptions!$C$129</f>
        <v>619.271333333333</v>
      </c>
      <c r="H62" s="68" t="n">
        <f aca="false">H9/Assumptions!$C$129</f>
        <v>571.052666666667</v>
      </c>
      <c r="I62" s="68" t="n">
        <f aca="false">I9/Assumptions!$C$129</f>
        <v>592.928333333333</v>
      </c>
      <c r="J62" s="68" t="n">
        <f aca="false">J9/Assumptions!$C$129</f>
        <v>598.8252</v>
      </c>
      <c r="K62" s="68" t="n">
        <f aca="false">K9/Assumptions!$C$129</f>
        <v>625.496533333333</v>
      </c>
      <c r="L62" s="68" t="n">
        <f aca="false">L9/Assumptions!$C$129</f>
        <v>581.668466666667</v>
      </c>
      <c r="M62" s="68" t="n">
        <f aca="false">M9/Assumptions!$C$129</f>
        <v>721.518811422224</v>
      </c>
      <c r="N62" s="68" t="n">
        <f aca="false">N9/Assumptions!$C$129</f>
        <v>750.013961812405</v>
      </c>
      <c r="O62" s="68" t="n">
        <f aca="false">O9/Assumptions!$C$129</f>
        <v>754.753055191999</v>
      </c>
      <c r="P62" s="68" t="n">
        <f aca="false">P9/Assumptions!$C$129</f>
        <v>743.332414307567</v>
      </c>
      <c r="Q62" s="68" t="n">
        <f aca="false">Q9/Assumptions!$C$129</f>
        <v>819.560506449384</v>
      </c>
      <c r="R62" s="68" t="n">
        <f aca="false">R9/Assumptions!$C$129</f>
        <v>824.739041740788</v>
      </c>
      <c r="S62" s="68" t="n">
        <f aca="false">S9/Assumptions!$C$129</f>
        <v>861.531193767582</v>
      </c>
      <c r="T62" s="68" t="n">
        <f aca="false">T9/Assumptions!$C$129</f>
        <v>853.879041060137</v>
      </c>
      <c r="U62" s="68" t="n">
        <f aca="false">U9/Assumptions!$C$129</f>
        <v>870.656038075726</v>
      </c>
      <c r="V62" s="68" t="n">
        <f aca="false">V9/Assumptions!$C$129</f>
        <v>905.880274660699</v>
      </c>
      <c r="W62" s="68" t="n">
        <f aca="false">W9/Assumptions!$C$129</f>
        <v>875.284754057034</v>
      </c>
      <c r="X62" s="68" t="n">
        <f aca="false">X9/Assumptions!$C$129</f>
        <v>815.476594730034</v>
      </c>
      <c r="Y62" s="68" t="n">
        <f aca="false">Y9/Assumptions!$C$129</f>
        <v>1028.71330044955</v>
      </c>
      <c r="Z62" s="68" t="n">
        <f aca="false">Z9/Assumptions!$C$129</f>
        <v>1069.34057134067</v>
      </c>
      <c r="AA62" s="68" t="n">
        <f aca="false">AA9/Assumptions!$C$129</f>
        <v>1076.09738532041</v>
      </c>
      <c r="AB62" s="68" t="n">
        <f aca="false">AB9/Assumptions!$C$129</f>
        <v>1059.81428224467</v>
      </c>
    </row>
    <row r="63" customFormat="false" ht="15" hidden="false" customHeight="false" outlineLevel="0" collapsed="false">
      <c r="A63" s="28" t="s">
        <v>862</v>
      </c>
      <c r="B63" s="62"/>
      <c r="C63" s="64" t="n">
        <f aca="false">SUM(E63:P63)</f>
        <v>80604.981548709</v>
      </c>
      <c r="D63" s="64" t="n">
        <f aca="false">SUM(Q63:AB63)</f>
        <v>116140.216330915</v>
      </c>
      <c r="E63" s="65" t="n">
        <f aca="false">E9*Assumptions!$C$21*Assumptions!$C$18</f>
        <v>5402.0582</v>
      </c>
      <c r="F63" s="65" t="n">
        <f aca="false">F9*Assumptions!$C$21*Assumptions!$C$18</f>
        <v>6334.8852</v>
      </c>
      <c r="G63" s="65" t="n">
        <f aca="false">G9*Assumptions!$C$21*Assumptions!$C$18</f>
        <v>6502.349</v>
      </c>
      <c r="H63" s="65" t="n">
        <f aca="false">H9*Assumptions!$C$21*Assumptions!$C$18</f>
        <v>5996.053</v>
      </c>
      <c r="I63" s="65" t="n">
        <f aca="false">I9*Assumptions!$C$21*Assumptions!$C$18</f>
        <v>6225.7475</v>
      </c>
      <c r="J63" s="65" t="n">
        <f aca="false">J9*Assumptions!$C$21*Assumptions!$C$18</f>
        <v>6287.6646</v>
      </c>
      <c r="K63" s="65" t="n">
        <f aca="false">K9*Assumptions!$C$21*Assumptions!$C$18</f>
        <v>6567.7136</v>
      </c>
      <c r="L63" s="65" t="n">
        <f aca="false">L9*Assumptions!$C$21*Assumptions!$C$18</f>
        <v>6107.5189</v>
      </c>
      <c r="M63" s="65" t="n">
        <f aca="false">M9*Assumptions!$C$21*Assumptions!$C$18</f>
        <v>7575.94751993336</v>
      </c>
      <c r="N63" s="65" t="n">
        <f aca="false">N9*Assumptions!$C$21*Assumptions!$C$18</f>
        <v>7875.14659903025</v>
      </c>
      <c r="O63" s="65" t="n">
        <f aca="false">O9*Assumptions!$C$21*Assumptions!$C$18</f>
        <v>7924.90707951599</v>
      </c>
      <c r="P63" s="65" t="n">
        <f aca="false">P9*Assumptions!$C$21*Assumptions!$C$18</f>
        <v>7804.99035022945</v>
      </c>
      <c r="Q63" s="65" t="n">
        <f aca="false">Q9*Assumptions!$C$21*Assumptions!$C$18</f>
        <v>8605.38531771853</v>
      </c>
      <c r="R63" s="65" t="n">
        <f aca="false">R9*Assumptions!$C$21*Assumptions!$C$18</f>
        <v>8659.75993827827</v>
      </c>
      <c r="S63" s="65" t="n">
        <f aca="false">S9*Assumptions!$C$21*Assumptions!$C$18</f>
        <v>9046.07753455961</v>
      </c>
      <c r="T63" s="65" t="n">
        <f aca="false">T9*Assumptions!$C$21*Assumptions!$C$18</f>
        <v>8965.72993113144</v>
      </c>
      <c r="U63" s="65" t="n">
        <f aca="false">U9*Assumptions!$C$21*Assumptions!$C$18</f>
        <v>9141.88839979512</v>
      </c>
      <c r="V63" s="65" t="n">
        <f aca="false">V9*Assumptions!$C$21*Assumptions!$C$18</f>
        <v>9511.74288393734</v>
      </c>
      <c r="W63" s="65" t="n">
        <f aca="false">W9*Assumptions!$C$21*Assumptions!$C$18</f>
        <v>9190.48991759886</v>
      </c>
      <c r="X63" s="65" t="n">
        <f aca="false">X9*Assumptions!$C$21*Assumptions!$C$18</f>
        <v>8562.50424466536</v>
      </c>
      <c r="Y63" s="65" t="n">
        <f aca="false">Y9*Assumptions!$C$21*Assumptions!$C$18</f>
        <v>10801.4896547203</v>
      </c>
      <c r="Z63" s="65" t="n">
        <f aca="false">Z9*Assumptions!$C$21*Assumptions!$C$18</f>
        <v>11228.075999077</v>
      </c>
      <c r="AA63" s="65" t="n">
        <f aca="false">AA9*Assumptions!$C$21*Assumptions!$C$18</f>
        <v>11299.0225458643</v>
      </c>
      <c r="AB63" s="65" t="n">
        <f aca="false">AB9*Assumptions!$C$21*Assumptions!$C$18</f>
        <v>11128.049963569</v>
      </c>
    </row>
    <row r="64" customFormat="false" ht="15" hidden="false" customHeight="false" outlineLevel="0" collapsed="false">
      <c r="A64" s="28" t="s">
        <v>863</v>
      </c>
      <c r="B64" s="62"/>
      <c r="C64" s="64" t="n">
        <f aca="false">SUM(E64:P64)</f>
        <v>460599.894564052</v>
      </c>
      <c r="D64" s="64" t="n">
        <f aca="false">SUM(Q64:AB64)</f>
        <v>663658.379033801</v>
      </c>
      <c r="E64" s="65" t="n">
        <f aca="false">E9*Assumptions!$C$22</f>
        <v>30868.904</v>
      </c>
      <c r="F64" s="65" t="n">
        <f aca="false">F9*Assumptions!$C$22</f>
        <v>36199.344</v>
      </c>
      <c r="G64" s="65" t="n">
        <f aca="false">G9*Assumptions!$C$22</f>
        <v>37156.28</v>
      </c>
      <c r="H64" s="65" t="n">
        <f aca="false">H9*Assumptions!$C$22</f>
        <v>34263.16</v>
      </c>
      <c r="I64" s="65" t="n">
        <f aca="false">I9*Assumptions!$C$22</f>
        <v>35575.7</v>
      </c>
      <c r="J64" s="65" t="n">
        <f aca="false">J9*Assumptions!$C$22</f>
        <v>35929.512</v>
      </c>
      <c r="K64" s="65" t="n">
        <f aca="false">K9*Assumptions!$C$22</f>
        <v>37529.792</v>
      </c>
      <c r="L64" s="65" t="n">
        <f aca="false">L9*Assumptions!$C$22</f>
        <v>34900.108</v>
      </c>
      <c r="M64" s="65" t="n">
        <f aca="false">M9*Assumptions!$C$22</f>
        <v>43291.1286853335</v>
      </c>
      <c r="N64" s="65" t="n">
        <f aca="false">N9*Assumptions!$C$22</f>
        <v>45000.8377087443</v>
      </c>
      <c r="O64" s="65" t="n">
        <f aca="false">O9*Assumptions!$C$22</f>
        <v>45285.1833115199</v>
      </c>
      <c r="P64" s="65" t="n">
        <f aca="false">P9*Assumptions!$C$22</f>
        <v>44599.944858454</v>
      </c>
      <c r="Q64" s="65" t="n">
        <f aca="false">Q9*Assumptions!$C$22</f>
        <v>49173.630386963</v>
      </c>
      <c r="R64" s="65" t="n">
        <f aca="false">R9*Assumptions!$C$22</f>
        <v>49484.3425044473</v>
      </c>
      <c r="S64" s="65" t="n">
        <f aca="false">S9*Assumptions!$C$22</f>
        <v>51691.8716260549</v>
      </c>
      <c r="T64" s="65" t="n">
        <f aca="false">T9*Assumptions!$C$22</f>
        <v>51232.7424636082</v>
      </c>
      <c r="U64" s="65" t="n">
        <f aca="false">U9*Assumptions!$C$22</f>
        <v>52239.3622845436</v>
      </c>
      <c r="V64" s="65" t="n">
        <f aca="false">V9*Assumptions!$C$22</f>
        <v>54352.8164796419</v>
      </c>
      <c r="W64" s="65" t="n">
        <f aca="false">W9*Assumptions!$C$22</f>
        <v>52517.0852434221</v>
      </c>
      <c r="X64" s="65" t="n">
        <f aca="false">X9*Assumptions!$C$22</f>
        <v>48928.5956838021</v>
      </c>
      <c r="Y64" s="65" t="n">
        <f aca="false">Y9*Assumptions!$C$22</f>
        <v>61722.7980269731</v>
      </c>
      <c r="Z64" s="65" t="n">
        <f aca="false">Z9*Assumptions!$C$22</f>
        <v>64160.4342804402</v>
      </c>
      <c r="AA64" s="65" t="n">
        <f aca="false">AA9*Assumptions!$C$22</f>
        <v>64565.8431192245</v>
      </c>
      <c r="AB64" s="65" t="n">
        <f aca="false">AB9*Assumptions!$C$22</f>
        <v>63588.8569346801</v>
      </c>
    </row>
    <row r="65" customFormat="false" ht="15" hidden="false" customHeight="false" outlineLevel="0" collapsed="false">
      <c r="A65" s="28" t="s">
        <v>575</v>
      </c>
      <c r="B65" s="62" t="s">
        <v>864</v>
      </c>
      <c r="C65" s="67" t="n">
        <f aca="false">SUM(E65:P65)</f>
        <v>42545.5271369307</v>
      </c>
      <c r="D65" s="67" t="n">
        <f aca="false">SUM(Q65:AB65)</f>
        <v>67701.0877565474</v>
      </c>
      <c r="E65" s="68" t="n">
        <f aca="false">IF(E$5="A",Inputs_Actuals!E69,E47*Assumptions!$C$125/(Assumptions!$C$116*Assumptions!E$215))</f>
        <v>3024.1</v>
      </c>
      <c r="F65" s="68" t="n">
        <f aca="false">IF(F$5="A",Inputs_Actuals!F69,F47*Assumptions!$C$125/(Assumptions!$C$116*Assumptions!F$215))</f>
        <v>3175.2</v>
      </c>
      <c r="G65" s="68" t="n">
        <f aca="false">IF(G$5="A",Inputs_Actuals!G69,G47*Assumptions!$C$125/(Assumptions!$C$116*Assumptions!G$215))</f>
        <v>3306.8</v>
      </c>
      <c r="H65" s="68" t="n">
        <f aca="false">IF(H$5="A",Inputs_Actuals!H69,H47*Assumptions!$C$125/(Assumptions!$C$116*Assumptions!H$215))</f>
        <v>3342.5</v>
      </c>
      <c r="I65" s="68" t="n">
        <f aca="false">IF(I$5="A",Inputs_Actuals!I69,I47*Assumptions!$C$125/(Assumptions!$C$116*Assumptions!I$215))</f>
        <v>3337.6</v>
      </c>
      <c r="J65" s="68" t="n">
        <f aca="false">IF(J$5="A",Inputs_Actuals!J69,J47*Assumptions!$C$125/(Assumptions!$C$116*Assumptions!J$215))</f>
        <v>3458</v>
      </c>
      <c r="K65" s="68" t="n">
        <f aca="false">IF(K$5="A",Inputs_Actuals!K69,K47*Assumptions!$C$125/(Assumptions!$C$116*Assumptions!K$215))</f>
        <v>3537.1</v>
      </c>
      <c r="L65" s="68" t="n">
        <f aca="false">IF(L$5="A",Inputs_Actuals!L69,L47*Assumptions!$C$125/(Assumptions!$C$116*Assumptions!L$215))</f>
        <v>3543.1</v>
      </c>
      <c r="M65" s="68" t="n">
        <f aca="false">IF(M$5="A",Inputs_Actuals!M69,M47*Assumptions!$C$125/(Assumptions!$C$116*Assumptions!M$215))</f>
        <v>3707.55061502718</v>
      </c>
      <c r="N65" s="68" t="n">
        <f aca="false">IF(N$5="A",Inputs_Actuals!N69,N47*Assumptions!$C$125/(Assumptions!$C$116*Assumptions!N$215))</f>
        <v>3904.41676849445</v>
      </c>
      <c r="O65" s="68" t="n">
        <f aca="false">IF(O$5="A",Inputs_Actuals!O69,O47*Assumptions!$C$125/(Assumptions!$C$116*Assumptions!O$215))</f>
        <v>4055.73340037882</v>
      </c>
      <c r="P65" s="68" t="n">
        <f aca="false">IF(P$5="A",Inputs_Actuals!P69,P47*Assumptions!$C$125/(Assumptions!$C$116*Assumptions!P$215))</f>
        <v>4153.42635303024</v>
      </c>
      <c r="Q65" s="68" t="n">
        <f aca="false">IF(Q$5="A",Inputs_Actuals!Q69,Q47*Assumptions!$C$125/(Assumptions!$C$116*Assumptions!Q$215))</f>
        <v>4821.2459634589</v>
      </c>
      <c r="R65" s="68" t="n">
        <f aca="false">IF(R$5="A",Inputs_Actuals!R69,R47*Assumptions!$C$125/(Assumptions!$C$116*Assumptions!R$215))</f>
        <v>4985.79567306692</v>
      </c>
      <c r="S65" s="68" t="n">
        <f aca="false">IF(S$5="A",Inputs_Actuals!S69,S47*Assumptions!$C$125/(Assumptions!$C$116*Assumptions!S$215))</f>
        <v>5165.70994207318</v>
      </c>
      <c r="T65" s="68" t="n">
        <f aca="false">IF(T$5="A",Inputs_Actuals!T69,T47*Assumptions!$C$125/(Assumptions!$C$116*Assumptions!T$215))</f>
        <v>5298.60191679913</v>
      </c>
      <c r="U65" s="68" t="n">
        <f aca="false">IF(U$5="A",Inputs_Actuals!U69,U47*Assumptions!$C$125/(Assumptions!$C$116*Assumptions!U$215))</f>
        <v>5423.55491664283</v>
      </c>
      <c r="V65" s="68" t="n">
        <f aca="false">IF(V$5="A",Inputs_Actuals!V69,V47*Assumptions!$C$125/(Assumptions!$C$116*Assumptions!V$215))</f>
        <v>5577.45192571523</v>
      </c>
      <c r="W65" s="68" t="n">
        <f aca="false">IF(W$5="A",Inputs_Actuals!W69,W47*Assumptions!$C$125/(Assumptions!$C$116*Assumptions!W$215))</f>
        <v>5647.72846243538</v>
      </c>
      <c r="X65" s="68" t="n">
        <f aca="false">IF(X$5="A",Inputs_Actuals!X69,X47*Assumptions!$C$125/(Assumptions!$C$116*Assumptions!X$215))</f>
        <v>5610.28637172577</v>
      </c>
      <c r="Y65" s="68" t="n">
        <f aca="false">IF(Y$5="A",Inputs_Actuals!Y69,Y47*Assumptions!$C$125/(Assumptions!$C$116*Assumptions!Y$215))</f>
        <v>5905.83521398333</v>
      </c>
      <c r="Z65" s="68" t="n">
        <f aca="false">IF(Z$5="A",Inputs_Actuals!Z69,Z47*Assumptions!$C$125/(Assumptions!$C$116*Assumptions!Z$215))</f>
        <v>6214.41168438342</v>
      </c>
      <c r="AA65" s="68" t="n">
        <f aca="false">IF(AA$5="A",Inputs_Actuals!AA69,AA47*Assumptions!$C$125/(Assumptions!$C$116*Assumptions!AA$215))</f>
        <v>6449.43648980072</v>
      </c>
      <c r="AB65" s="68" t="n">
        <f aca="false">IF(AB$5="A",Inputs_Actuals!AB69,AB47*Assumptions!$C$125/(Assumptions!$C$116*Assumptions!AB$215))</f>
        <v>6601.02919646252</v>
      </c>
    </row>
    <row r="66" customFormat="false" ht="15" hidden="false" customHeight="false" outlineLevel="0" collapsed="false">
      <c r="A66" s="28" t="s">
        <v>576</v>
      </c>
      <c r="B66" s="62" t="s">
        <v>864</v>
      </c>
      <c r="C66" s="67" t="n">
        <f aca="false">SUM(E66:P66)</f>
        <v>34036.5017095446</v>
      </c>
      <c r="D66" s="67" t="n">
        <f aca="false">SUM(Q66:AB66)</f>
        <v>54160.8702052379</v>
      </c>
      <c r="E66" s="68" t="n">
        <f aca="false">IF(E$5="A",Inputs_Actuals!E70,E47*Assumptions!$C$126/(Assumptions!$C$117*Assumptions!E$215))</f>
        <v>2419.3</v>
      </c>
      <c r="F66" s="68" t="n">
        <f aca="false">IF(F$5="A",Inputs_Actuals!F70,F47*Assumptions!$C$126/(Assumptions!$C$117*Assumptions!F$215))</f>
        <v>2540.2</v>
      </c>
      <c r="G66" s="68" t="n">
        <f aca="false">IF(G$5="A",Inputs_Actuals!G70,G47*Assumptions!$C$126/(Assumptions!$C$117*Assumptions!G$215))</f>
        <v>2645.4</v>
      </c>
      <c r="H66" s="68" t="n">
        <f aca="false">IF(H$5="A",Inputs_Actuals!H70,H47*Assumptions!$C$126/(Assumptions!$C$117*Assumptions!H$215))</f>
        <v>2674</v>
      </c>
      <c r="I66" s="68" t="n">
        <f aca="false">IF(I$5="A",Inputs_Actuals!I70,I47*Assumptions!$C$126/(Assumptions!$C$117*Assumptions!I$215))</f>
        <v>2670.1</v>
      </c>
      <c r="J66" s="68" t="n">
        <f aca="false">IF(J$5="A",Inputs_Actuals!J70,J47*Assumptions!$C$126/(Assumptions!$C$117*Assumptions!J$215))</f>
        <v>2766.4</v>
      </c>
      <c r="K66" s="68" t="n">
        <f aca="false">IF(K$5="A",Inputs_Actuals!K70,K47*Assumptions!$C$126/(Assumptions!$C$117*Assumptions!K$215))</f>
        <v>2829.7</v>
      </c>
      <c r="L66" s="68" t="n">
        <f aca="false">IF(L$5="A",Inputs_Actuals!L70,L47*Assumptions!$C$126/(Assumptions!$C$117*Assumptions!L$215))</f>
        <v>2834.5</v>
      </c>
      <c r="M66" s="68" t="n">
        <f aca="false">IF(M$5="A",Inputs_Actuals!M70,M47*Assumptions!$C$126/(Assumptions!$C$117*Assumptions!M$215))</f>
        <v>2966.04049202174</v>
      </c>
      <c r="N66" s="68" t="n">
        <f aca="false">IF(N$5="A",Inputs_Actuals!N70,N47*Assumptions!$C$126/(Assumptions!$C$117*Assumptions!N$215))</f>
        <v>3123.53341479556</v>
      </c>
      <c r="O66" s="68" t="n">
        <f aca="false">IF(O$5="A",Inputs_Actuals!O70,O47*Assumptions!$C$126/(Assumptions!$C$117*Assumptions!O$215))</f>
        <v>3244.58672030306</v>
      </c>
      <c r="P66" s="68" t="n">
        <f aca="false">IF(P$5="A",Inputs_Actuals!P70,P47*Assumptions!$C$126/(Assumptions!$C$117*Assumptions!P$215))</f>
        <v>3322.74108242419</v>
      </c>
      <c r="Q66" s="68" t="n">
        <f aca="false">IF(Q$5="A",Inputs_Actuals!Q70,Q47*Assumptions!$C$126/(Assumptions!$C$117*Assumptions!Q$215))</f>
        <v>3856.99677076712</v>
      </c>
      <c r="R66" s="68" t="n">
        <f aca="false">IF(R$5="A",Inputs_Actuals!R70,R47*Assumptions!$C$126/(Assumptions!$C$117*Assumptions!R$215))</f>
        <v>3988.63653845354</v>
      </c>
      <c r="S66" s="68" t="n">
        <f aca="false">IF(S$5="A",Inputs_Actuals!S70,S47*Assumptions!$C$126/(Assumptions!$C$117*Assumptions!S$215))</f>
        <v>4132.56795365855</v>
      </c>
      <c r="T66" s="68" t="n">
        <f aca="false">IF(T$5="A",Inputs_Actuals!T70,T47*Assumptions!$C$126/(Assumptions!$C$117*Assumptions!T$215))</f>
        <v>4238.88153343931</v>
      </c>
      <c r="U66" s="68" t="n">
        <f aca="false">IF(U$5="A",Inputs_Actuals!U70,U47*Assumptions!$C$126/(Assumptions!$C$117*Assumptions!U$215))</f>
        <v>4338.84393331427</v>
      </c>
      <c r="V66" s="68" t="n">
        <f aca="false">IF(V$5="A",Inputs_Actuals!V70,V47*Assumptions!$C$126/(Assumptions!$C$117*Assumptions!V$215))</f>
        <v>4461.96154057218</v>
      </c>
      <c r="W66" s="68" t="n">
        <f aca="false">IF(W$5="A",Inputs_Actuals!W70,W47*Assumptions!$C$126/(Assumptions!$C$117*Assumptions!W$215))</f>
        <v>4518.1827699483</v>
      </c>
      <c r="X66" s="68" t="n">
        <f aca="false">IF(X$5="A",Inputs_Actuals!X70,X47*Assumptions!$C$126/(Assumptions!$C$117*Assumptions!X$215))</f>
        <v>4488.22909738061</v>
      </c>
      <c r="Y66" s="68" t="n">
        <f aca="false">IF(Y$5="A",Inputs_Actuals!Y70,Y47*Assumptions!$C$126/(Assumptions!$C$117*Assumptions!Y$215))</f>
        <v>4724.66817118667</v>
      </c>
      <c r="Z66" s="68" t="n">
        <f aca="false">IF(Z$5="A",Inputs_Actuals!Z70,Z47*Assumptions!$C$126/(Assumptions!$C$117*Assumptions!Z$215))</f>
        <v>4971.52934750674</v>
      </c>
      <c r="AA66" s="68" t="n">
        <f aca="false">IF(AA$5="A",Inputs_Actuals!AA70,AA47*Assumptions!$C$126/(Assumptions!$C$117*Assumptions!AA$215))</f>
        <v>5159.54919184058</v>
      </c>
      <c r="AB66" s="68" t="n">
        <f aca="false">IF(AB$5="A",Inputs_Actuals!AB70,AB47*Assumptions!$C$126/(Assumptions!$C$117*Assumptions!AB$215))</f>
        <v>5280.82335717002</v>
      </c>
    </row>
    <row r="67" customFormat="false" ht="15" hidden="false" customHeight="false" outlineLevel="0" collapsed="false">
      <c r="A67" s="28" t="s">
        <v>577</v>
      </c>
      <c r="B67" s="62" t="s">
        <v>864</v>
      </c>
      <c r="C67" s="67" t="n">
        <f aca="false">SUM(E67:P67)</f>
        <v>10210.8705128634</v>
      </c>
      <c r="D67" s="67" t="n">
        <f aca="false">SUM(Q67:AB67)</f>
        <v>16248.2610615714</v>
      </c>
      <c r="E67" s="68" t="n">
        <f aca="false">IF(E$5="A",Inputs_Actuals!E71,E47*Assumptions!$C$127/(Assumptions!$C$118*Assumptions!E$215))</f>
        <v>725.8</v>
      </c>
      <c r="F67" s="68" t="n">
        <f aca="false">IF(F$5="A",Inputs_Actuals!F71,F47*Assumptions!$C$127/(Assumptions!$C$118*Assumptions!F$215))</f>
        <v>762.1</v>
      </c>
      <c r="G67" s="68" t="n">
        <f aca="false">IF(G$5="A",Inputs_Actuals!G71,G47*Assumptions!$C$127/(Assumptions!$C$118*Assumptions!G$215))</f>
        <v>793.6</v>
      </c>
      <c r="H67" s="68" t="n">
        <f aca="false">IF(H$5="A",Inputs_Actuals!H71,H47*Assumptions!$C$127/(Assumptions!$C$118*Assumptions!H$215))</f>
        <v>802.2</v>
      </c>
      <c r="I67" s="68" t="n">
        <f aca="false">IF(I$5="A",Inputs_Actuals!I71,I47*Assumptions!$C$127/(Assumptions!$C$118*Assumptions!I$215))</f>
        <v>801</v>
      </c>
      <c r="J67" s="68" t="n">
        <f aca="false">IF(J$5="A",Inputs_Actuals!J71,J47*Assumptions!$C$127/(Assumptions!$C$118*Assumptions!J$215))</f>
        <v>829.9</v>
      </c>
      <c r="K67" s="68" t="n">
        <f aca="false">IF(K$5="A",Inputs_Actuals!K71,K47*Assumptions!$C$127/(Assumptions!$C$118*Assumptions!K$215))</f>
        <v>848.9</v>
      </c>
      <c r="L67" s="68" t="n">
        <f aca="false">IF(L$5="A",Inputs_Actuals!L71,L47*Assumptions!$C$127/(Assumptions!$C$118*Assumptions!L$215))</f>
        <v>850.3</v>
      </c>
      <c r="M67" s="68" t="n">
        <f aca="false">IF(M$5="A",Inputs_Actuals!M71,M47*Assumptions!$C$127/(Assumptions!$C$118*Assumptions!M$215))</f>
        <v>889.812147606523</v>
      </c>
      <c r="N67" s="68" t="n">
        <f aca="false">IF(N$5="A",Inputs_Actuals!N71,N47*Assumptions!$C$127/(Assumptions!$C$118*Assumptions!N$215))</f>
        <v>937.060024438668</v>
      </c>
      <c r="O67" s="68" t="n">
        <f aca="false">IF(O$5="A",Inputs_Actuals!O71,O47*Assumptions!$C$127/(Assumptions!$C$118*Assumptions!O$215))</f>
        <v>973.376016090917</v>
      </c>
      <c r="P67" s="68" t="n">
        <f aca="false">IF(P$5="A",Inputs_Actuals!P71,P47*Assumptions!$C$127/(Assumptions!$C$118*Assumptions!P$215))</f>
        <v>996.822324727257</v>
      </c>
      <c r="Q67" s="68" t="n">
        <f aca="false">IF(Q$5="A",Inputs_Actuals!Q71,Q47*Assumptions!$C$127/(Assumptions!$C$118*Assumptions!Q$215))</f>
        <v>1157.09903123014</v>
      </c>
      <c r="R67" s="68" t="n">
        <f aca="false">IF(R$5="A",Inputs_Actuals!R71,R47*Assumptions!$C$127/(Assumptions!$C$118*Assumptions!R$215))</f>
        <v>1196.59096153606</v>
      </c>
      <c r="S67" s="68" t="n">
        <f aca="false">IF(S$5="A",Inputs_Actuals!S71,S47*Assumptions!$C$127/(Assumptions!$C$118*Assumptions!S$215))</f>
        <v>1239.77038609756</v>
      </c>
      <c r="T67" s="68" t="n">
        <f aca="false">IF(T$5="A",Inputs_Actuals!T71,T47*Assumptions!$C$127/(Assumptions!$C$118*Assumptions!T$215))</f>
        <v>1271.66446003179</v>
      </c>
      <c r="U67" s="68" t="n">
        <f aca="false">IF(U$5="A",Inputs_Actuals!U71,U47*Assumptions!$C$127/(Assumptions!$C$118*Assumptions!U$215))</f>
        <v>1301.65317999428</v>
      </c>
      <c r="V67" s="68" t="n">
        <f aca="false">IF(V$5="A",Inputs_Actuals!V71,V47*Assumptions!$C$127/(Assumptions!$C$118*Assumptions!V$215))</f>
        <v>1338.58846217166</v>
      </c>
      <c r="W67" s="68" t="n">
        <f aca="false">IF(W$5="A",Inputs_Actuals!W71,W47*Assumptions!$C$127/(Assumptions!$C$118*Assumptions!W$215))</f>
        <v>1355.45483098449</v>
      </c>
      <c r="X67" s="68" t="n">
        <f aca="false">IF(X$5="A",Inputs_Actuals!X71,X47*Assumptions!$C$127/(Assumptions!$C$118*Assumptions!X$215))</f>
        <v>1346.46872921418</v>
      </c>
      <c r="Y67" s="68" t="n">
        <f aca="false">IF(Y$5="A",Inputs_Actuals!Y71,Y47*Assumptions!$C$127/(Assumptions!$C$118*Assumptions!Y$215))</f>
        <v>1417.400451356</v>
      </c>
      <c r="Z67" s="68" t="n">
        <f aca="false">IF(Z$5="A",Inputs_Actuals!Z71,Z47*Assumptions!$C$127/(Assumptions!$C$118*Assumptions!Z$215))</f>
        <v>1491.45880425202</v>
      </c>
      <c r="AA67" s="68" t="n">
        <f aca="false">IF(AA$5="A",Inputs_Actuals!AA71,AA47*Assumptions!$C$127/(Assumptions!$C$118*Assumptions!AA$215))</f>
        <v>1547.86475755217</v>
      </c>
      <c r="AB67" s="68" t="n">
        <f aca="false">IF(AB$5="A",Inputs_Actuals!AB71,AB47*Assumptions!$C$127/(Assumptions!$C$118*Assumptions!AB$215))</f>
        <v>1584.24700715101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865</v>
      </c>
    </row>
    <row r="3" customFormat="false" ht="15" hidden="false" customHeight="false" outlineLevel="0" collapsed="false">
      <c r="A3" s="49" t="s">
        <v>866</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867</v>
      </c>
      <c r="B8" s="62"/>
      <c r="E8" s="68" t="n">
        <f aca="false">History!$N$13</f>
        <v>334</v>
      </c>
      <c r="F8" s="80" t="n">
        <f aca="false">E11</f>
        <v>343</v>
      </c>
      <c r="G8" s="80" t="n">
        <f aca="false">F11</f>
        <v>349</v>
      </c>
      <c r="H8" s="80" t="n">
        <f aca="false">G11</f>
        <v>365</v>
      </c>
      <c r="I8" s="80" t="n">
        <f aca="false">H11</f>
        <v>369</v>
      </c>
      <c r="J8" s="80" t="n">
        <f aca="false">I11</f>
        <v>379</v>
      </c>
      <c r="K8" s="80" t="n">
        <f aca="false">J11</f>
        <v>384</v>
      </c>
      <c r="L8" s="80" t="n">
        <f aca="false">K11</f>
        <v>381</v>
      </c>
      <c r="M8" s="80" t="n">
        <f aca="false">L11</f>
        <v>380</v>
      </c>
      <c r="N8" s="80" t="n">
        <f aca="false">M11</f>
        <v>386.972</v>
      </c>
      <c r="O8" s="80" t="n">
        <f aca="false">N11</f>
        <v>394.074672</v>
      </c>
      <c r="P8" s="80" t="n">
        <f aca="false">O11</f>
        <v>400.261879872</v>
      </c>
      <c r="Q8" s="80" t="n">
        <f aca="false">P11</f>
        <v>404.959594755072</v>
      </c>
      <c r="R8" s="80" t="n">
        <f aca="false">Q11</f>
        <v>411.63056448095</v>
      </c>
      <c r="S8" s="80" t="n">
        <f aca="false">R11</f>
        <v>417.396430933407</v>
      </c>
      <c r="T8" s="80" t="n">
        <f aca="false">S11</f>
        <v>423.470916591006</v>
      </c>
      <c r="U8" s="80" t="n">
        <f aca="false">T11</f>
        <v>428.207614592821</v>
      </c>
      <c r="V8" s="80" t="n">
        <f aca="false">U11</f>
        <v>432.532631842594</v>
      </c>
      <c r="W8" s="80" t="n">
        <f aca="false">V11</f>
        <v>437.051848678371</v>
      </c>
      <c r="X8" s="80" t="n">
        <f aca="false">W11</f>
        <v>439.674604310091</v>
      </c>
      <c r="Y8" s="80" t="n">
        <f aca="false">X11</f>
        <v>439.850413806648</v>
      </c>
      <c r="Z8" s="80" t="n">
        <f aca="false">Y11</f>
        <v>445.386003875289</v>
      </c>
      <c r="AA8" s="80" t="n">
        <f aca="false">Z11</f>
        <v>451.086739782282</v>
      </c>
      <c r="AB8" s="80" t="n">
        <f aca="false">AA11</f>
        <v>455.905658027507</v>
      </c>
    </row>
    <row r="9" customFormat="false" ht="15" hidden="false" customHeight="false" outlineLevel="0" collapsed="false">
      <c r="A9" s="28" t="s">
        <v>868</v>
      </c>
      <c r="B9" s="62" t="s">
        <v>869</v>
      </c>
      <c r="C9" s="67" t="n">
        <f aca="false">SUM(E9:P9)</f>
        <v>178.431</v>
      </c>
      <c r="D9" s="67" t="n">
        <f aca="false">SUM(Q9:AB9)</f>
        <v>178.8</v>
      </c>
      <c r="E9" s="68" t="n">
        <f aca="false">IF(E$5="A",Inputs_Actuals!E32,Assumptions!$C$130*Assumptions!E$212*Assumptions!$F$180)</f>
        <v>22</v>
      </c>
      <c r="F9" s="68" t="n">
        <f aca="false">IF(F$5="A",Inputs_Actuals!F32,Assumptions!$C$130*Assumptions!F$212*Assumptions!$F$180)</f>
        <v>15</v>
      </c>
      <c r="G9" s="68" t="n">
        <f aca="false">IF(G$5="A",Inputs_Actuals!G32,Assumptions!$C$130*Assumptions!G$212*Assumptions!$F$180)</f>
        <v>23</v>
      </c>
      <c r="H9" s="68" t="n">
        <f aca="false">IF(H$5="A",Inputs_Actuals!H32,Assumptions!$C$130*Assumptions!H$212*Assumptions!$F$180)</f>
        <v>13</v>
      </c>
      <c r="I9" s="68" t="n">
        <f aca="false">IF(I$5="A",Inputs_Actuals!I32,Assumptions!$C$130*Assumptions!I$212*Assumptions!$F$180)</f>
        <v>14</v>
      </c>
      <c r="J9" s="68" t="n">
        <f aca="false">IF(J$5="A",Inputs_Actuals!J32,Assumptions!$C$130*Assumptions!J$212*Assumptions!$F$180)</f>
        <v>13</v>
      </c>
      <c r="K9" s="68" t="n">
        <f aca="false">IF(K$5="A",Inputs_Actuals!K32,Assumptions!$C$130*Assumptions!K$212*Assumptions!$F$180)</f>
        <v>8</v>
      </c>
      <c r="L9" s="68" t="n">
        <f aca="false">IF(L$5="A",Inputs_Actuals!L32,Assumptions!$C$130*Assumptions!L$212*Assumptions!$F$180)</f>
        <v>8</v>
      </c>
      <c r="M9" s="68" t="n">
        <f aca="false">IF(M$5="A",Inputs_Actuals!M32,Assumptions!$C$130*Assumptions!M$212*Assumptions!$F$180)</f>
        <v>16.092</v>
      </c>
      <c r="N9" s="68" t="n">
        <f aca="false">IF(N$5="A",Inputs_Actuals!N32,Assumptions!$C$130*Assumptions!N$212*Assumptions!$F$180)</f>
        <v>16.39</v>
      </c>
      <c r="O9" s="68" t="n">
        <f aca="false">IF(O$5="A",Inputs_Actuals!O32,Assumptions!$C$130*Assumptions!O$212*Assumptions!$F$180)</f>
        <v>15.645</v>
      </c>
      <c r="P9" s="68" t="n">
        <f aca="false">IF(P$5="A",Inputs_Actuals!P32,Assumptions!$C$130*Assumptions!P$212*Assumptions!$F$180)</f>
        <v>14.304</v>
      </c>
      <c r="Q9" s="68" t="n">
        <f aca="false">IF(Q$5="A",Inputs_Actuals!Q32,Assumptions!$C$130*Assumptions!Q$212*Assumptions!$F$180)</f>
        <v>16.39</v>
      </c>
      <c r="R9" s="68" t="n">
        <f aca="false">IF(R$5="A",Inputs_Actuals!R32,Assumptions!$C$130*Assumptions!R$212*Assumptions!$F$180)</f>
        <v>15.645</v>
      </c>
      <c r="S9" s="68" t="n">
        <f aca="false">IF(S$5="A",Inputs_Actuals!S32,Assumptions!$C$130*Assumptions!S$212*Assumptions!$F$180)</f>
        <v>16.092</v>
      </c>
      <c r="T9" s="68" t="n">
        <f aca="false">IF(T$5="A",Inputs_Actuals!T32,Assumptions!$C$130*Assumptions!T$212*Assumptions!$F$180)</f>
        <v>14.9</v>
      </c>
      <c r="U9" s="68" t="n">
        <f aca="false">IF(U$5="A",Inputs_Actuals!U32,Assumptions!$C$130*Assumptions!U$212*Assumptions!$F$180)</f>
        <v>14.602</v>
      </c>
      <c r="V9" s="68" t="n">
        <f aca="false">IF(V$5="A",Inputs_Actuals!V32,Assumptions!$C$130*Assumptions!V$212*Assumptions!$F$180)</f>
        <v>14.9</v>
      </c>
      <c r="W9" s="68" t="n">
        <f aca="false">IF(W$5="A",Inputs_Actuals!W32,Assumptions!$C$130*Assumptions!W$212*Assumptions!$F$180)</f>
        <v>13.112</v>
      </c>
      <c r="X9" s="68" t="n">
        <f aca="false">IF(X$5="A",Inputs_Actuals!X32,Assumptions!$C$130*Assumptions!X$212*Assumptions!$F$180)</f>
        <v>10.728</v>
      </c>
      <c r="Y9" s="68" t="n">
        <f aca="false">IF(Y$5="A",Inputs_Actuals!Y32,Assumptions!$C$130*Assumptions!Y$212*Assumptions!$F$180)</f>
        <v>16.092</v>
      </c>
      <c r="Z9" s="68" t="n">
        <f aca="false">IF(Z$5="A",Inputs_Actuals!Z32,Assumptions!$C$130*Assumptions!Z$212*Assumptions!$F$180)</f>
        <v>16.39</v>
      </c>
      <c r="AA9" s="68" t="n">
        <f aca="false">IF(AA$5="A",Inputs_Actuals!AA32,Assumptions!$C$130*Assumptions!AA$212*Assumptions!$F$180)</f>
        <v>15.645</v>
      </c>
      <c r="AB9" s="68" t="n">
        <f aca="false">IF(AB$5="A",Inputs_Actuals!AB32,Assumptions!$C$130*Assumptions!AB$212*Assumptions!$F$180)</f>
        <v>14.304</v>
      </c>
    </row>
    <row r="10" customFormat="false" ht="15" hidden="false" customHeight="false" outlineLevel="0" collapsed="false">
      <c r="A10" s="28" t="s">
        <v>870</v>
      </c>
      <c r="B10" s="62" t="s">
        <v>871</v>
      </c>
      <c r="C10" s="67" t="n">
        <f aca="false">SUM(E10:P10)</f>
        <v>-107.471405244928</v>
      </c>
      <c r="D10" s="67" t="n">
        <f aca="false">SUM(Q10:AB10)</f>
        <v>-124.491672520225</v>
      </c>
      <c r="E10" s="68" t="n">
        <f aca="false">IF(E$5="A",-Inputs_Actuals!E33,-E8*Assumptions!$C$131*Assumptions!$F$181)</f>
        <v>-13</v>
      </c>
      <c r="F10" s="68" t="n">
        <f aca="false">IF(F$5="A",-Inputs_Actuals!F33,-F8*Assumptions!$C$131*Assumptions!$F$181)</f>
        <v>-9</v>
      </c>
      <c r="G10" s="68" t="n">
        <f aca="false">IF(G$5="A",-Inputs_Actuals!G33,-G8*Assumptions!$C$131*Assumptions!$F$181)</f>
        <v>-7</v>
      </c>
      <c r="H10" s="68" t="n">
        <f aca="false">IF(H$5="A",-Inputs_Actuals!H33,-H8*Assumptions!$C$131*Assumptions!$F$181)</f>
        <v>-9</v>
      </c>
      <c r="I10" s="68" t="n">
        <f aca="false">IF(I$5="A",-Inputs_Actuals!I33,-I8*Assumptions!$C$131*Assumptions!$F$181)</f>
        <v>-4</v>
      </c>
      <c r="J10" s="68" t="n">
        <f aca="false">IF(J$5="A",-Inputs_Actuals!J33,-J8*Assumptions!$C$131*Assumptions!$F$181)</f>
        <v>-8</v>
      </c>
      <c r="K10" s="68" t="n">
        <f aca="false">IF(K$5="A",-Inputs_Actuals!K33,-K8*Assumptions!$C$131*Assumptions!$F$181)</f>
        <v>-11</v>
      </c>
      <c r="L10" s="68" t="n">
        <f aca="false">IF(L$5="A",-Inputs_Actuals!L33,-L8*Assumptions!$C$131*Assumptions!$F$181)</f>
        <v>-9</v>
      </c>
      <c r="M10" s="68" t="n">
        <f aca="false">IF(M$5="A",-Inputs_Actuals!M33,-M8*Assumptions!$C$131*Assumptions!$F$181)</f>
        <v>-9.12</v>
      </c>
      <c r="N10" s="68" t="n">
        <f aca="false">IF(N$5="A",-Inputs_Actuals!N33,-N8*Assumptions!$C$131*Assumptions!$F$181)</f>
        <v>-9.287328</v>
      </c>
      <c r="O10" s="68" t="n">
        <f aca="false">IF(O$5="A",-Inputs_Actuals!O33,-O8*Assumptions!$C$131*Assumptions!$F$181)</f>
        <v>-9.457792128</v>
      </c>
      <c r="P10" s="68" t="n">
        <f aca="false">IF(P$5="A",-Inputs_Actuals!P33,-P8*Assumptions!$C$131*Assumptions!$F$181)</f>
        <v>-9.606285116928</v>
      </c>
      <c r="Q10" s="68" t="n">
        <f aca="false">IF(Q$5="A",-Inputs_Actuals!Q33,-Q8*Assumptions!$C$131*Assumptions!$F$181)</f>
        <v>-9.71903027412173</v>
      </c>
      <c r="R10" s="68" t="n">
        <f aca="false">IF(R$5="A",-Inputs_Actuals!R33,-R8*Assumptions!$C$131*Assumptions!$F$181)</f>
        <v>-9.8791335475428</v>
      </c>
      <c r="S10" s="68" t="n">
        <f aca="false">IF(S$5="A",-Inputs_Actuals!S33,-S8*Assumptions!$C$131*Assumptions!$F$181)</f>
        <v>-10.0175143424018</v>
      </c>
      <c r="T10" s="68" t="n">
        <f aca="false">IF(T$5="A",-Inputs_Actuals!T33,-T8*Assumptions!$C$131*Assumptions!$F$181)</f>
        <v>-10.1633019981841</v>
      </c>
      <c r="U10" s="68" t="n">
        <f aca="false">IF(U$5="A",-Inputs_Actuals!U33,-U8*Assumptions!$C$131*Assumptions!$F$181)</f>
        <v>-10.2769827502277</v>
      </c>
      <c r="V10" s="68" t="n">
        <f aca="false">IF(V$5="A",-Inputs_Actuals!V33,-V8*Assumptions!$C$131*Assumptions!$F$181)</f>
        <v>-10.3807831642223</v>
      </c>
      <c r="W10" s="68" t="n">
        <f aca="false">IF(W$5="A",-Inputs_Actuals!W33,-W8*Assumptions!$C$131*Assumptions!$F$181)</f>
        <v>-10.4892443682809</v>
      </c>
      <c r="X10" s="68" t="n">
        <f aca="false">IF(X$5="A",-Inputs_Actuals!X33,-X8*Assumptions!$C$131*Assumptions!$F$181)</f>
        <v>-10.5521905034422</v>
      </c>
      <c r="Y10" s="68" t="n">
        <f aca="false">IF(Y$5="A",-Inputs_Actuals!Y33,-Y8*Assumptions!$C$131*Assumptions!$F$181)</f>
        <v>-10.5564099313596</v>
      </c>
      <c r="Z10" s="68" t="n">
        <f aca="false">IF(Z$5="A",-Inputs_Actuals!Z33,-Z8*Assumptions!$C$131*Assumptions!$F$181)</f>
        <v>-10.6892640930069</v>
      </c>
      <c r="AA10" s="68" t="n">
        <f aca="false">IF(AA$5="A",-Inputs_Actuals!AA33,-AA8*Assumptions!$C$131*Assumptions!$F$181)</f>
        <v>-10.8260817547748</v>
      </c>
      <c r="AB10" s="68" t="n">
        <f aca="false">IF(AB$5="A",-Inputs_Actuals!AB33,-AB8*Assumptions!$C$131*Assumptions!$F$181)</f>
        <v>-10.9417357926602</v>
      </c>
    </row>
    <row r="11" customFormat="false" ht="15" hidden="false" customHeight="false" outlineLevel="0" collapsed="false">
      <c r="A11" s="58" t="s">
        <v>872</v>
      </c>
      <c r="B11" s="59"/>
      <c r="C11" s="74" t="n">
        <f aca="false">P11</f>
        <v>404.959594755072</v>
      </c>
      <c r="D11" s="74" t="n">
        <f aca="false">AB11</f>
        <v>459.267922234847</v>
      </c>
      <c r="E11" s="74" t="n">
        <f aca="false">E8+E9+E10</f>
        <v>343</v>
      </c>
      <c r="F11" s="74" t="n">
        <f aca="false">F8+F9+F10</f>
        <v>349</v>
      </c>
      <c r="G11" s="74" t="n">
        <f aca="false">G8+G9+G10</f>
        <v>365</v>
      </c>
      <c r="H11" s="74" t="n">
        <f aca="false">H8+H9+H10</f>
        <v>369</v>
      </c>
      <c r="I11" s="74" t="n">
        <f aca="false">I8+I9+I10</f>
        <v>379</v>
      </c>
      <c r="J11" s="74" t="n">
        <f aca="false">J8+J9+J10</f>
        <v>384</v>
      </c>
      <c r="K11" s="74" t="n">
        <f aca="false">K8+K9+K10</f>
        <v>381</v>
      </c>
      <c r="L11" s="74" t="n">
        <f aca="false">L8+L9+L10</f>
        <v>380</v>
      </c>
      <c r="M11" s="74" t="n">
        <f aca="false">M8+M9+M10</f>
        <v>386.972</v>
      </c>
      <c r="N11" s="74" t="n">
        <f aca="false">N8+N9+N10</f>
        <v>394.074672</v>
      </c>
      <c r="O11" s="74" t="n">
        <f aca="false">O8+O9+O10</f>
        <v>400.261879872</v>
      </c>
      <c r="P11" s="74" t="n">
        <f aca="false">P8+P9+P10</f>
        <v>404.959594755072</v>
      </c>
      <c r="Q11" s="74" t="n">
        <f aca="false">Q8+Q9+Q10</f>
        <v>411.63056448095</v>
      </c>
      <c r="R11" s="74" t="n">
        <f aca="false">R8+R9+R10</f>
        <v>417.396430933407</v>
      </c>
      <c r="S11" s="74" t="n">
        <f aca="false">S8+S9+S10</f>
        <v>423.470916591006</v>
      </c>
      <c r="T11" s="74" t="n">
        <f aca="false">T8+T9+T10</f>
        <v>428.207614592821</v>
      </c>
      <c r="U11" s="74" t="n">
        <f aca="false">U8+U9+U10</f>
        <v>432.532631842594</v>
      </c>
      <c r="V11" s="74" t="n">
        <f aca="false">V8+V9+V10</f>
        <v>437.051848678371</v>
      </c>
      <c r="W11" s="74" t="n">
        <f aca="false">W8+W9+W10</f>
        <v>439.674604310091</v>
      </c>
      <c r="X11" s="74" t="n">
        <f aca="false">X8+X9+X10</f>
        <v>439.850413806648</v>
      </c>
      <c r="Y11" s="74" t="n">
        <f aca="false">Y8+Y9+Y10</f>
        <v>445.386003875289</v>
      </c>
      <c r="Z11" s="74" t="n">
        <f aca="false">Z8+Z9+Z10</f>
        <v>451.086739782282</v>
      </c>
      <c r="AA11" s="74" t="n">
        <f aca="false">AA8+AA9+AA10</f>
        <v>455.905658027507</v>
      </c>
      <c r="AB11" s="74" t="n">
        <f aca="false">AB8+AB9+AB10</f>
        <v>459.267922234847</v>
      </c>
    </row>
    <row r="12" customFormat="false" ht="15" hidden="false" customHeight="false" outlineLevel="0" collapsed="false">
      <c r="A12" s="28" t="s">
        <v>873</v>
      </c>
      <c r="B12" s="62"/>
      <c r="C12" s="114" t="n">
        <f aca="false">AVERAGE(E12:P12)</f>
        <v>0.0241743526649072</v>
      </c>
      <c r="D12" s="114" t="n">
        <f aca="false">AVERAGE(Q12:AB12)</f>
        <v>0.024</v>
      </c>
      <c r="E12" s="115" t="n">
        <f aca="false">IF(E8=0,0,-E10/E8)</f>
        <v>0.0389221556886228</v>
      </c>
      <c r="F12" s="115" t="n">
        <f aca="false">IF(F8=0,0,-F10/F8)</f>
        <v>0.0262390670553936</v>
      </c>
      <c r="G12" s="115" t="n">
        <f aca="false">IF(G8=0,0,-G10/G8)</f>
        <v>0.0200573065902579</v>
      </c>
      <c r="H12" s="115" t="n">
        <f aca="false">IF(H8=0,0,-H10/H8)</f>
        <v>0.0246575342465753</v>
      </c>
      <c r="I12" s="115" t="n">
        <f aca="false">IF(I8=0,0,-I10/I8)</f>
        <v>0.010840108401084</v>
      </c>
      <c r="J12" s="115" t="n">
        <f aca="false">IF(J8=0,0,-J10/J8)</f>
        <v>0.0211081794195251</v>
      </c>
      <c r="K12" s="115" t="n">
        <f aca="false">IF(K8=0,0,-K10/K8)</f>
        <v>0.0286458333333333</v>
      </c>
      <c r="L12" s="115" t="n">
        <f aca="false">IF(L8=0,0,-L10/L8)</f>
        <v>0.0236220472440945</v>
      </c>
      <c r="M12" s="115" t="n">
        <f aca="false">IF(M8=0,0,-M10/M8)</f>
        <v>0.024</v>
      </c>
      <c r="N12" s="115" t="n">
        <f aca="false">IF(N8=0,0,-N10/N8)</f>
        <v>0.024</v>
      </c>
      <c r="O12" s="115" t="n">
        <f aca="false">IF(O8=0,0,-O10/O8)</f>
        <v>0.024</v>
      </c>
      <c r="P12" s="115" t="n">
        <f aca="false">IF(P8=0,0,-P10/P8)</f>
        <v>0.024</v>
      </c>
      <c r="Q12" s="115" t="n">
        <f aca="false">IF(Q8=0,0,-Q10/Q8)</f>
        <v>0.024</v>
      </c>
      <c r="R12" s="115" t="n">
        <f aca="false">IF(R8=0,0,-R10/R8)</f>
        <v>0.024</v>
      </c>
      <c r="S12" s="115" t="n">
        <f aca="false">IF(S8=0,0,-S10/S8)</f>
        <v>0.024</v>
      </c>
      <c r="T12" s="115" t="n">
        <f aca="false">IF(T8=0,0,-T10/T8)</f>
        <v>0.024</v>
      </c>
      <c r="U12" s="115" t="n">
        <f aca="false">IF(U8=0,0,-U10/U8)</f>
        <v>0.024</v>
      </c>
      <c r="V12" s="115" t="n">
        <f aca="false">IF(V8=0,0,-V10/V8)</f>
        <v>0.024</v>
      </c>
      <c r="W12" s="115" t="n">
        <f aca="false">IF(W8=0,0,-W10/W8)</f>
        <v>0.024</v>
      </c>
      <c r="X12" s="115" t="n">
        <f aca="false">IF(X8=0,0,-X10/X8)</f>
        <v>0.024</v>
      </c>
      <c r="Y12" s="115" t="n">
        <f aca="false">IF(Y8=0,0,-Y10/Y8)</f>
        <v>0.024</v>
      </c>
      <c r="Z12" s="115" t="n">
        <f aca="false">IF(Z8=0,0,-Z10/Z8)</f>
        <v>0.024</v>
      </c>
      <c r="AA12" s="115" t="n">
        <f aca="false">IF(AA8=0,0,-AA10/AA8)</f>
        <v>0.024</v>
      </c>
      <c r="AB12" s="115" t="n">
        <f aca="false">IF(AB8=0,0,-AB10/AB8)</f>
        <v>0.024</v>
      </c>
    </row>
    <row r="13" customFormat="false" ht="15" hidden="false" customHeight="false" outlineLevel="0" collapsed="false">
      <c r="A13" s="28" t="s">
        <v>874</v>
      </c>
      <c r="B13" s="62"/>
      <c r="C13" s="67" t="n">
        <f aca="false">SUM(E13:P13)</f>
        <v>0</v>
      </c>
      <c r="D13" s="67" t="n">
        <f aca="false">SUM(Q13:AB13)</f>
        <v>0</v>
      </c>
      <c r="E13" s="68" t="n">
        <f aca="false">IF(E$5="A",ROUND(Inputs_Actuals!E31-E11,4),0)</f>
        <v>0</v>
      </c>
      <c r="F13" s="68" t="n">
        <f aca="false">IF(F$5="A",ROUND(Inputs_Actuals!F31-F11,4),0)</f>
        <v>0</v>
      </c>
      <c r="G13" s="68" t="n">
        <f aca="false">IF(G$5="A",ROUND(Inputs_Actuals!G31-G11,4),0)</f>
        <v>0</v>
      </c>
      <c r="H13" s="68" t="n">
        <f aca="false">IF(H$5="A",ROUND(Inputs_Actuals!H31-H11,4),0)</f>
        <v>0</v>
      </c>
      <c r="I13" s="68" t="n">
        <f aca="false">IF(I$5="A",ROUND(Inputs_Actuals!I31-I11,4),0)</f>
        <v>0</v>
      </c>
      <c r="J13" s="68" t="n">
        <f aca="false">IF(J$5="A",ROUND(Inputs_Actuals!J31-J11,4),0)</f>
        <v>0</v>
      </c>
      <c r="K13" s="68" t="n">
        <f aca="false">IF(K$5="A",ROUND(Inputs_Actuals!K31-K11,4),0)</f>
        <v>0</v>
      </c>
      <c r="L13" s="68" t="n">
        <f aca="false">IF(L$5="A",ROUND(Inputs_Actuals!L31-L11,4),0)</f>
        <v>0</v>
      </c>
      <c r="M13" s="68" t="n">
        <f aca="false">IF(M$5="A",ROUND(Inputs_Actuals!M31-M11,4),0)</f>
        <v>0</v>
      </c>
      <c r="N13" s="68" t="n">
        <f aca="false">IF(N$5="A",ROUND(Inputs_Actuals!N31-N11,4),0)</f>
        <v>0</v>
      </c>
      <c r="O13" s="68" t="n">
        <f aca="false">IF(O$5="A",ROUND(Inputs_Actuals!O31-O11,4),0)</f>
        <v>0</v>
      </c>
      <c r="P13" s="68" t="n">
        <f aca="false">IF(P$5="A",ROUND(Inputs_Actuals!P31-P11,4),0)</f>
        <v>0</v>
      </c>
      <c r="Q13" s="68" t="n">
        <f aca="false">IF(Q$5="A",ROUND(Inputs_Actuals!Q31-Q11,4),0)</f>
        <v>0</v>
      </c>
      <c r="R13" s="68" t="n">
        <f aca="false">IF(R$5="A",ROUND(Inputs_Actuals!R31-R11,4),0)</f>
        <v>0</v>
      </c>
      <c r="S13" s="68" t="n">
        <f aca="false">IF(S$5="A",ROUND(Inputs_Actuals!S31-S11,4),0)</f>
        <v>0</v>
      </c>
      <c r="T13" s="68" t="n">
        <f aca="false">IF(T$5="A",ROUND(Inputs_Actuals!T31-T11,4),0)</f>
        <v>0</v>
      </c>
      <c r="U13" s="68" t="n">
        <f aca="false">IF(U$5="A",ROUND(Inputs_Actuals!U31-U11,4),0)</f>
        <v>0</v>
      </c>
      <c r="V13" s="68" t="n">
        <f aca="false">IF(V$5="A",ROUND(Inputs_Actuals!V31-V11,4),0)</f>
        <v>0</v>
      </c>
      <c r="W13" s="68" t="n">
        <f aca="false">IF(W$5="A",ROUND(Inputs_Actuals!W31-W11,4),0)</f>
        <v>0</v>
      </c>
      <c r="X13" s="68" t="n">
        <f aca="false">IF(X$5="A",ROUND(Inputs_Actuals!X31-X11,4),0)</f>
        <v>0</v>
      </c>
      <c r="Y13" s="68" t="n">
        <f aca="false">IF(Y$5="A",ROUND(Inputs_Actuals!Y31-Y11,4),0)</f>
        <v>0</v>
      </c>
      <c r="Z13" s="68" t="n">
        <f aca="false">IF(Z$5="A",ROUND(Inputs_Actuals!Z31-Z11,4),0)</f>
        <v>0</v>
      </c>
      <c r="AA13" s="68" t="n">
        <f aca="false">IF(AA$5="A",ROUND(Inputs_Actuals!AA31-AA11,4),0)</f>
        <v>0</v>
      </c>
      <c r="AB13" s="68" t="n">
        <f aca="false">IF(AB$5="A",ROUND(Inputs_Actuals!AB31-AB11,4),0)</f>
        <v>0</v>
      </c>
    </row>
    <row r="14" customFormat="false" ht="15" hidden="false" customHeight="false" outlineLevel="0" collapsed="false">
      <c r="A14" s="28" t="s">
        <v>875</v>
      </c>
      <c r="B14" s="62" t="s">
        <v>876</v>
      </c>
      <c r="C14" s="71" t="n">
        <f aca="false">AVERAGE(E14:P14)</f>
        <v>436.305402501603</v>
      </c>
      <c r="D14" s="71" t="n">
        <f aca="false">AVERAGE(Q14:AB14)</f>
        <v>446.15769009035</v>
      </c>
      <c r="E14" s="72" t="n">
        <f aca="false">IF(E$5="A",IF(E11=0,0,Inputs_Actuals!E34/E11),(History!$N$11/History!$N$13)*(1+Assumptions!$C$132))</f>
        <v>430.969067055394</v>
      </c>
      <c r="F14" s="72" t="n">
        <f aca="false">IF(F$5="A",IF(F11=0,0,Inputs_Actuals!F34/F11),E14*(1+Assumptions!$C$132))</f>
        <v>433.483180515759</v>
      </c>
      <c r="G14" s="72" t="n">
        <f aca="false">IF(G$5="A",IF(G11=0,0,Inputs_Actuals!G34/G11),F14*(1+Assumptions!$C$132))</f>
        <v>434.074356164384</v>
      </c>
      <c r="H14" s="72" t="n">
        <f aca="false">IF(H$5="A",IF(H11=0,0,Inputs_Actuals!H34/H11),G14*(1+Assumptions!$C$132))</f>
        <v>435.26189701897</v>
      </c>
      <c r="I14" s="72" t="n">
        <f aca="false">IF(I$5="A",IF(I11=0,0,Inputs_Actuals!I34/I11),H14*(1+Assumptions!$C$132))</f>
        <v>433.978337730871</v>
      </c>
      <c r="J14" s="72" t="n">
        <f aca="false">IF(J$5="A",IF(J11=0,0,Inputs_Actuals!J34/J11),I14*(1+Assumptions!$C$132))</f>
        <v>436.492239583333</v>
      </c>
      <c r="K14" s="72" t="n">
        <f aca="false">IF(K$5="A",IF(K11=0,0,Inputs_Actuals!K34/K11),J14*(1+Assumptions!$C$132))</f>
        <v>438.226351706037</v>
      </c>
      <c r="L14" s="72" t="n">
        <f aca="false">IF(L$5="A",IF(L11=0,0,Inputs_Actuals!L34/L11),K14*(1+Assumptions!$C$132))</f>
        <v>436.884842105263</v>
      </c>
      <c r="M14" s="72" t="n">
        <f aca="false">IF(M$5="A",IF(M11=0,0,Inputs_Actuals!M34/M11),L14*(1+Assumptions!$C$132))</f>
        <v>437.758611789474</v>
      </c>
      <c r="N14" s="72" t="n">
        <f aca="false">IF(N$5="A",IF(N11=0,0,Inputs_Actuals!N34/N11),M14*(1+Assumptions!$C$132))</f>
        <v>438.634129013053</v>
      </c>
      <c r="O14" s="72" t="n">
        <f aca="false">IF(O$5="A",IF(O11=0,0,Inputs_Actuals!O34/O11),N14*(1+Assumptions!$C$132))</f>
        <v>439.511397271079</v>
      </c>
      <c r="P14" s="72" t="n">
        <f aca="false">IF(P$5="A",IF(P11=0,0,Inputs_Actuals!P34/P11),O14*(1+Assumptions!$C$132))</f>
        <v>440.390420065621</v>
      </c>
      <c r="Q14" s="72" t="n">
        <f aca="false">IF(Q$5="A",IF(Q11=0,0,Inputs_Actuals!Q34/Q11),P14*(1+Assumptions!$C$132))</f>
        <v>441.271200905752</v>
      </c>
      <c r="R14" s="72" t="n">
        <f aca="false">IF(R$5="A",IF(R11=0,0,Inputs_Actuals!R34/R11),Q14*(1+Assumptions!$C$132))</f>
        <v>442.153743307564</v>
      </c>
      <c r="S14" s="72" t="n">
        <f aca="false">IF(S$5="A",IF(S11=0,0,Inputs_Actuals!S34/S11),R14*(1+Assumptions!$C$132))</f>
        <v>443.038050794179</v>
      </c>
      <c r="T14" s="72" t="n">
        <f aca="false">IF(T$5="A",IF(T11=0,0,Inputs_Actuals!T34/T11),S14*(1+Assumptions!$C$132))</f>
        <v>443.924126895767</v>
      </c>
      <c r="U14" s="72" t="n">
        <f aca="false">IF(U$5="A",IF(U11=0,0,Inputs_Actuals!U34/U11),T14*(1+Assumptions!$C$132))</f>
        <v>444.811975149559</v>
      </c>
      <c r="V14" s="72" t="n">
        <f aca="false">IF(V$5="A",IF(V11=0,0,Inputs_Actuals!V34/V11),U14*(1+Assumptions!$C$132))</f>
        <v>445.701599099858</v>
      </c>
      <c r="W14" s="72" t="n">
        <f aca="false">IF(W$5="A",IF(W11=0,0,Inputs_Actuals!W34/W11),V14*(1+Assumptions!$C$132))</f>
        <v>446.593002298057</v>
      </c>
      <c r="X14" s="72" t="n">
        <f aca="false">IF(X$5="A",IF(X11=0,0,Inputs_Actuals!X34/X11),W14*(1+Assumptions!$C$132))</f>
        <v>447.486188302654</v>
      </c>
      <c r="Y14" s="72" t="n">
        <f aca="false">IF(Y$5="A",IF(Y11=0,0,Inputs_Actuals!Y34/Y11),X14*(1+Assumptions!$C$132))</f>
        <v>448.381160679259</v>
      </c>
      <c r="Z14" s="72" t="n">
        <f aca="false">IF(Z$5="A",IF(Z11=0,0,Inputs_Actuals!Z34/Z11),Y14*(1+Assumptions!$C$132))</f>
        <v>449.277923000617</v>
      </c>
      <c r="AA14" s="72" t="n">
        <f aca="false">IF(AA$5="A",IF(AA11=0,0,Inputs_Actuals!AA34/AA11),Z14*(1+Assumptions!$C$132))</f>
        <v>450.176478846619</v>
      </c>
      <c r="AB14" s="72" t="n">
        <f aca="false">IF(AB$5="A",IF(AB11=0,0,Inputs_Actuals!AB34/AB11),AA14*(1+Assumptions!$C$132))</f>
        <v>451.076831804312</v>
      </c>
    </row>
    <row r="15" customFormat="false" ht="15" hidden="false" customHeight="false" outlineLevel="0" collapsed="false">
      <c r="A15" s="58" t="s">
        <v>877</v>
      </c>
      <c r="B15" s="59" t="s">
        <v>878</v>
      </c>
      <c r="C15" s="60" t="n">
        <f aca="false">SUM(E15:P15)</f>
        <v>1979743.0001809</v>
      </c>
      <c r="D15" s="60" t="n">
        <f aca="false">SUM(Q15:AB15)</f>
        <v>2339041.64763248</v>
      </c>
      <c r="E15" s="61" t="n">
        <f aca="false">IF(E$5="A",Inputs_Actuals!E34,E11*E14)</f>
        <v>147822.39</v>
      </c>
      <c r="F15" s="61" t="n">
        <f aca="false">IF(F$5="A",Inputs_Actuals!F34,F11*F14)</f>
        <v>151285.63</v>
      </c>
      <c r="G15" s="61" t="n">
        <f aca="false">IF(G$5="A",Inputs_Actuals!G34,G11*G14)</f>
        <v>158437.14</v>
      </c>
      <c r="H15" s="61" t="n">
        <f aca="false">IF(H$5="A",Inputs_Actuals!H34,H11*H14)</f>
        <v>160611.64</v>
      </c>
      <c r="I15" s="61" t="n">
        <f aca="false">IF(I$5="A",Inputs_Actuals!I34,I11*I14)</f>
        <v>164477.79</v>
      </c>
      <c r="J15" s="61" t="n">
        <f aca="false">IF(J$5="A",Inputs_Actuals!J34,J11*J14)</f>
        <v>167613.02</v>
      </c>
      <c r="K15" s="61" t="n">
        <f aca="false">IF(K$5="A",Inputs_Actuals!K34,K11*K14)</f>
        <v>166964.24</v>
      </c>
      <c r="L15" s="61" t="n">
        <f aca="false">IF(L$5="A",Inputs_Actuals!L34,L11*L14)</f>
        <v>166016.24</v>
      </c>
      <c r="M15" s="61" t="n">
        <f aca="false">IF(M$5="A",Inputs_Actuals!M34,M11*M14)</f>
        <v>169400.325521396</v>
      </c>
      <c r="N15" s="61" t="n">
        <f aca="false">IF(N$5="A",Inputs_Actuals!N34,N11*N14)</f>
        <v>172854.600518824</v>
      </c>
      <c r="O15" s="61" t="n">
        <f aca="false">IF(O$5="A",Inputs_Actuals!O34,O11*O14)</f>
        <v>175919.658096891</v>
      </c>
      <c r="P15" s="61" t="n">
        <f aca="false">IF(P$5="A",Inputs_Actuals!P34,P11*P14)</f>
        <v>178340.32604379</v>
      </c>
      <c r="Q15" s="61" t="n">
        <f aca="false">IF(Q$5="A",Inputs_Actuals!Q34,Q11*Q14)</f>
        <v>181640.713518022</v>
      </c>
      <c r="R15" s="61" t="n">
        <f aca="false">IF(R$5="A",Inputs_Actuals!R34,R11*R14)</f>
        <v>184553.394380423</v>
      </c>
      <c r="S15" s="61" t="n">
        <f aca="false">IF(S$5="A",Inputs_Actuals!S34,S11*S14)</f>
        <v>187613.729454503</v>
      </c>
      <c r="T15" s="61" t="n">
        <f aca="false">IF(T$5="A",Inputs_Actuals!T34,T11*T14)</f>
        <v>190091.691438237</v>
      </c>
      <c r="U15" s="61" t="n">
        <f aca="false">IF(U$5="A",Inputs_Actuals!U34,U11*U14)</f>
        <v>192395.694286541</v>
      </c>
      <c r="V15" s="61" t="n">
        <f aca="false">IF(V$5="A",Inputs_Actuals!V34,V11*V14)</f>
        <v>194794.707845499</v>
      </c>
      <c r="W15" s="61" t="n">
        <f aca="false">IF(W$5="A",Inputs_Actuals!W34,W11*W14)</f>
        <v>196355.601573054</v>
      </c>
      <c r="X15" s="61" t="n">
        <f aca="false">IF(X$5="A",Inputs_Actuals!X34,X11*X14)</f>
        <v>196826.985097682</v>
      </c>
      <c r="Y15" s="61" t="n">
        <f aca="false">IF(Y$5="A",Inputs_Actuals!Y34,Y11*Y14)</f>
        <v>199702.693367899</v>
      </c>
      <c r="Z15" s="61" t="n">
        <f aca="false">IF(Z$5="A",Inputs_Actuals!Z34,Z11*Z14)</f>
        <v>202663.313542504</v>
      </c>
      <c r="AA15" s="61" t="n">
        <f aca="false">IF(AA$5="A",Inputs_Actuals!AA34,AA11*AA14)</f>
        <v>205238.003817074</v>
      </c>
      <c r="AB15" s="61" t="n">
        <f aca="false">IF(AB$5="A",Inputs_Actuals!AB34,AB11*AB14)</f>
        <v>207165.119311044</v>
      </c>
    </row>
    <row r="16" customFormat="false" ht="15" hidden="false" customHeight="false" outlineLevel="0" collapsed="false">
      <c r="A16" s="58" t="s">
        <v>879</v>
      </c>
      <c r="B16" s="59" t="s">
        <v>880</v>
      </c>
      <c r="C16" s="60" t="n">
        <f aca="false">SUM(E16:P16)</f>
        <v>453712.809341607</v>
      </c>
      <c r="D16" s="60" t="n">
        <f aca="false">SUM(Q16:AB16)</f>
        <v>537979.578955471</v>
      </c>
      <c r="E16" s="61" t="n">
        <f aca="false">IF(E$5="A",Inputs_Actuals!E35,E15*Assumptions!$F$182)</f>
        <v>33802.2</v>
      </c>
      <c r="F16" s="61" t="n">
        <f aca="false">IF(F$5="A",Inputs_Actuals!F35,F15*Assumptions!$F$182)</f>
        <v>32583.96</v>
      </c>
      <c r="G16" s="61" t="n">
        <f aca="false">IF(G$5="A",Inputs_Actuals!G35,G15*Assumptions!$F$182)</f>
        <v>32561.07</v>
      </c>
      <c r="H16" s="61" t="n">
        <f aca="false">IF(H$5="A",Inputs_Actuals!H35,H15*Assumptions!$F$182)</f>
        <v>33100.75</v>
      </c>
      <c r="I16" s="61" t="n">
        <f aca="false">IF(I$5="A",Inputs_Actuals!I35,I15*Assumptions!$F$182)</f>
        <v>37038.12</v>
      </c>
      <c r="J16" s="61" t="n">
        <f aca="false">IF(J$5="A",Inputs_Actuals!J35,J15*Assumptions!$F$182)</f>
        <v>40825.68</v>
      </c>
      <c r="K16" s="61" t="n">
        <f aca="false">IF(K$5="A",Inputs_Actuals!K35,K15*Assumptions!$F$182)</f>
        <v>41131.2</v>
      </c>
      <c r="L16" s="61" t="n">
        <f aca="false">IF(L$5="A",Inputs_Actuals!L35,L15*Assumptions!$F$182)</f>
        <v>42471.4</v>
      </c>
      <c r="M16" s="61" t="n">
        <f aca="false">IF(M$5="A",Inputs_Actuals!M35,M15*Assumptions!$F$182)</f>
        <v>38962.0748699211</v>
      </c>
      <c r="N16" s="61" t="n">
        <f aca="false">IF(N$5="A",Inputs_Actuals!N35,N15*Assumptions!$F$182)</f>
        <v>39756.5581193296</v>
      </c>
      <c r="O16" s="61" t="n">
        <f aca="false">IF(O$5="A",Inputs_Actuals!O35,O15*Assumptions!$F$182)</f>
        <v>40461.521362285</v>
      </c>
      <c r="P16" s="61" t="n">
        <f aca="false">IF(P$5="A",Inputs_Actuals!P35,P15*Assumptions!$F$182)</f>
        <v>41018.2749900716</v>
      </c>
      <c r="Q16" s="61" t="n">
        <f aca="false">IF(Q$5="A",Inputs_Actuals!Q35,Q15*Assumptions!$F$182)</f>
        <v>41777.3641091449</v>
      </c>
      <c r="R16" s="61" t="n">
        <f aca="false">IF(R$5="A",Inputs_Actuals!R35,R15*Assumptions!$F$182)</f>
        <v>42447.2807074973</v>
      </c>
      <c r="S16" s="61" t="n">
        <f aca="false">IF(S$5="A",Inputs_Actuals!S35,S15*Assumptions!$F$182)</f>
        <v>43151.1577745358</v>
      </c>
      <c r="T16" s="61" t="n">
        <f aca="false">IF(T$5="A",Inputs_Actuals!T35,T15*Assumptions!$F$182)</f>
        <v>43721.0890307946</v>
      </c>
      <c r="U16" s="61" t="n">
        <f aca="false">IF(U$5="A",Inputs_Actuals!U35,U15*Assumptions!$F$182)</f>
        <v>44251.0096859044</v>
      </c>
      <c r="V16" s="61" t="n">
        <f aca="false">IF(V$5="A",Inputs_Actuals!V35,V15*Assumptions!$F$182)</f>
        <v>44802.7828044648</v>
      </c>
      <c r="W16" s="61" t="n">
        <f aca="false">IF(W$5="A",Inputs_Actuals!W35,W15*Assumptions!$F$182)</f>
        <v>45161.7883618024</v>
      </c>
      <c r="X16" s="61" t="n">
        <f aca="false">IF(X$5="A",Inputs_Actuals!X35,X15*Assumptions!$F$182)</f>
        <v>45270.2065724668</v>
      </c>
      <c r="Y16" s="61" t="n">
        <f aca="false">IF(Y$5="A",Inputs_Actuals!Y35,Y15*Assumptions!$F$182)</f>
        <v>45931.6194746167</v>
      </c>
      <c r="Z16" s="61" t="n">
        <f aca="false">IF(Z$5="A",Inputs_Actuals!Z35,Z15*Assumptions!$F$182)</f>
        <v>46612.5621147758</v>
      </c>
      <c r="AA16" s="61" t="n">
        <f aca="false">IF(AA$5="A",Inputs_Actuals!AA35,AA15*Assumptions!$F$182)</f>
        <v>47204.740877927</v>
      </c>
      <c r="AB16" s="61" t="n">
        <f aca="false">IF(AB$5="A",Inputs_Actuals!AB35,AB15*Assumptions!$F$182)</f>
        <v>47647.9774415401</v>
      </c>
    </row>
    <row r="17" customFormat="false" ht="15" hidden="false" customHeight="false" outlineLevel="0" collapsed="false">
      <c r="A17" s="28" t="s">
        <v>881</v>
      </c>
      <c r="B17" s="62"/>
      <c r="C17" s="66" t="n">
        <f aca="false">IF(C15=0,0,C16/C15)</f>
        <v>0.229177630278349</v>
      </c>
      <c r="D17" s="66" t="n">
        <f aca="false">IF(D15=0,0,D16/D15)</f>
        <v>0.23</v>
      </c>
      <c r="E17" s="75" t="n">
        <f aca="false">IF(E15=0,0,E16/E15)</f>
        <v>0.228667659885624</v>
      </c>
      <c r="F17" s="75" t="n">
        <f aca="false">IF(F15=0,0,F16/F15)</f>
        <v>0.215380403280867</v>
      </c>
      <c r="G17" s="75" t="n">
        <f aca="false">IF(G15=0,0,G16/G15)</f>
        <v>0.205514123771737</v>
      </c>
      <c r="H17" s="75" t="n">
        <f aca="false">IF(H15=0,0,H16/H15)</f>
        <v>0.206091849880868</v>
      </c>
      <c r="I17" s="75" t="n">
        <f aca="false">IF(I15=0,0,I16/I15)</f>
        <v>0.225186148233144</v>
      </c>
      <c r="J17" s="75" t="n">
        <f aca="false">IF(J15=0,0,J16/J15)</f>
        <v>0.243571054325016</v>
      </c>
      <c r="K17" s="75" t="n">
        <f aca="false">IF(K15=0,0,K16/K15)</f>
        <v>0.246347361566764</v>
      </c>
      <c r="L17" s="75" t="n">
        <f aca="false">IF(L15=0,0,L16/L15)</f>
        <v>0.255826779356044</v>
      </c>
      <c r="M17" s="75" t="n">
        <f aca="false">IF(M15=0,0,M16/M15)</f>
        <v>0.23</v>
      </c>
      <c r="N17" s="75" t="n">
        <f aca="false">IF(N15=0,0,N16/N15)</f>
        <v>0.23</v>
      </c>
      <c r="O17" s="75" t="n">
        <f aca="false">IF(O15=0,0,O16/O15)</f>
        <v>0.23</v>
      </c>
      <c r="P17" s="75" t="n">
        <f aca="false">IF(P15=0,0,P16/P15)</f>
        <v>0.23</v>
      </c>
      <c r="Q17" s="75" t="n">
        <f aca="false">IF(Q15=0,0,Q16/Q15)</f>
        <v>0.23</v>
      </c>
      <c r="R17" s="75" t="n">
        <f aca="false">IF(R15=0,0,R16/R15)</f>
        <v>0.23</v>
      </c>
      <c r="S17" s="75" t="n">
        <f aca="false">IF(S15=0,0,S16/S15)</f>
        <v>0.23</v>
      </c>
      <c r="T17" s="75" t="n">
        <f aca="false">IF(T15=0,0,T16/T15)</f>
        <v>0.23</v>
      </c>
      <c r="U17" s="75" t="n">
        <f aca="false">IF(U15=0,0,U16/U15)</f>
        <v>0.23</v>
      </c>
      <c r="V17" s="75" t="n">
        <f aca="false">IF(V15=0,0,V16/V15)</f>
        <v>0.23</v>
      </c>
      <c r="W17" s="75" t="n">
        <f aca="false">IF(W15=0,0,W16/W15)</f>
        <v>0.23</v>
      </c>
      <c r="X17" s="75" t="n">
        <f aca="false">IF(X15=0,0,X16/X15)</f>
        <v>0.23</v>
      </c>
      <c r="Y17" s="75" t="n">
        <f aca="false">IF(Y15=0,0,Y16/Y15)</f>
        <v>0.23</v>
      </c>
      <c r="Z17" s="75" t="n">
        <f aca="false">IF(Z15=0,0,Z16/Z15)</f>
        <v>0.23</v>
      </c>
      <c r="AA17" s="75" t="n">
        <f aca="false">IF(AA15=0,0,AA16/AA15)</f>
        <v>0.23</v>
      </c>
      <c r="AB17" s="75" t="n">
        <f aca="false">IF(AB15=0,0,AB16/AB15)</f>
        <v>0.23</v>
      </c>
    </row>
    <row r="18" customFormat="false" ht="15" hidden="false" customHeight="false" outlineLevel="0" collapsed="false">
      <c r="A18" s="58" t="s">
        <v>882</v>
      </c>
      <c r="B18" s="59"/>
      <c r="C18" s="60" t="n">
        <f aca="false">SUM(E18:P18)</f>
        <v>2433455.80952251</v>
      </c>
      <c r="D18" s="60" t="n">
        <f aca="false">SUM(Q18:AB18)</f>
        <v>2877021.22658795</v>
      </c>
      <c r="E18" s="60" t="n">
        <f aca="false">E15+E16</f>
        <v>181624.59</v>
      </c>
      <c r="F18" s="60" t="n">
        <f aca="false">F15+F16</f>
        <v>183869.59</v>
      </c>
      <c r="G18" s="60" t="n">
        <f aca="false">G15+G16</f>
        <v>190998.21</v>
      </c>
      <c r="H18" s="60" t="n">
        <f aca="false">H15+H16</f>
        <v>193712.39</v>
      </c>
      <c r="I18" s="60" t="n">
        <f aca="false">I15+I16</f>
        <v>201515.91</v>
      </c>
      <c r="J18" s="60" t="n">
        <f aca="false">J15+J16</f>
        <v>208438.7</v>
      </c>
      <c r="K18" s="60" t="n">
        <f aca="false">K15+K16</f>
        <v>208095.44</v>
      </c>
      <c r="L18" s="60" t="n">
        <f aca="false">L15+L16</f>
        <v>208487.64</v>
      </c>
      <c r="M18" s="60" t="n">
        <f aca="false">M15+M16</f>
        <v>208362.400391317</v>
      </c>
      <c r="N18" s="60" t="n">
        <f aca="false">N15+N16</f>
        <v>212611.158638154</v>
      </c>
      <c r="O18" s="60" t="n">
        <f aca="false">O15+O16</f>
        <v>216381.179459176</v>
      </c>
      <c r="P18" s="60" t="n">
        <f aca="false">P15+P16</f>
        <v>219358.601033861</v>
      </c>
      <c r="Q18" s="60" t="n">
        <f aca="false">Q15+Q16</f>
        <v>223418.077627166</v>
      </c>
      <c r="R18" s="60" t="n">
        <f aca="false">R15+R16</f>
        <v>227000.67508792</v>
      </c>
      <c r="S18" s="60" t="n">
        <f aca="false">S15+S16</f>
        <v>230764.887229039</v>
      </c>
      <c r="T18" s="60" t="n">
        <f aca="false">T15+T16</f>
        <v>233812.780469032</v>
      </c>
      <c r="U18" s="60" t="n">
        <f aca="false">U15+U16</f>
        <v>236646.703972445</v>
      </c>
      <c r="V18" s="60" t="n">
        <f aca="false">V15+V16</f>
        <v>239597.490649964</v>
      </c>
      <c r="W18" s="60" t="n">
        <f aca="false">W15+W16</f>
        <v>241517.389934856</v>
      </c>
      <c r="X18" s="60" t="n">
        <f aca="false">X15+X16</f>
        <v>242097.191670149</v>
      </c>
      <c r="Y18" s="60" t="n">
        <f aca="false">Y15+Y16</f>
        <v>245634.312842516</v>
      </c>
      <c r="Z18" s="60" t="n">
        <f aca="false">Z15+Z16</f>
        <v>249275.875657279</v>
      </c>
      <c r="AA18" s="60" t="n">
        <f aca="false">AA15+AA16</f>
        <v>252442.744695001</v>
      </c>
      <c r="AB18" s="60" t="n">
        <f aca="false">AB15+AB16</f>
        <v>254813.096752584</v>
      </c>
    </row>
    <row r="19" customFormat="false" ht="15" hidden="false" customHeight="false" outlineLevel="0" collapsed="false">
      <c r="A19" s="28" t="s">
        <v>883</v>
      </c>
      <c r="B19" s="62" t="s">
        <v>884</v>
      </c>
      <c r="C19" s="64" t="n">
        <f aca="false">SUM(E19:P19)</f>
        <v>1682781.55015377</v>
      </c>
      <c r="D19" s="64" t="n">
        <f aca="false">SUM(Q19:AB19)</f>
        <v>1988185.40048761</v>
      </c>
      <c r="E19" s="65" t="n">
        <f aca="false">E15*Assumptions!$C$133</f>
        <v>125649.0315</v>
      </c>
      <c r="F19" s="65" t="n">
        <f aca="false">F15*Assumptions!$C$133</f>
        <v>128592.7855</v>
      </c>
      <c r="G19" s="65" t="n">
        <f aca="false">G15*Assumptions!$C$133</f>
        <v>134671.569</v>
      </c>
      <c r="H19" s="65" t="n">
        <f aca="false">H15*Assumptions!$C$133</f>
        <v>136519.894</v>
      </c>
      <c r="I19" s="65" t="n">
        <f aca="false">I15*Assumptions!$C$133</f>
        <v>139806.1215</v>
      </c>
      <c r="J19" s="65" t="n">
        <f aca="false">J15*Assumptions!$C$133</f>
        <v>142471.067</v>
      </c>
      <c r="K19" s="65" t="n">
        <f aca="false">K15*Assumptions!$C$133</f>
        <v>141919.604</v>
      </c>
      <c r="L19" s="65" t="n">
        <f aca="false">L15*Assumptions!$C$133</f>
        <v>141113.804</v>
      </c>
      <c r="M19" s="65" t="n">
        <f aca="false">M15*Assumptions!$C$133</f>
        <v>143990.276693187</v>
      </c>
      <c r="N19" s="65" t="n">
        <f aca="false">N15*Assumptions!$C$133</f>
        <v>146926.410441001</v>
      </c>
      <c r="O19" s="65" t="n">
        <f aca="false">O15*Assumptions!$C$133</f>
        <v>149531.709382358</v>
      </c>
      <c r="P19" s="65" t="n">
        <f aca="false">P15*Assumptions!$C$133</f>
        <v>151589.277137221</v>
      </c>
      <c r="Q19" s="65" t="n">
        <f aca="false">Q15*Assumptions!$C$133</f>
        <v>154394.606490318</v>
      </c>
      <c r="R19" s="65" t="n">
        <f aca="false">R15*Assumptions!$C$133</f>
        <v>156870.38522336</v>
      </c>
      <c r="S19" s="65" t="n">
        <f aca="false">S15*Assumptions!$C$133</f>
        <v>159471.670036328</v>
      </c>
      <c r="T19" s="65" t="n">
        <f aca="false">T15*Assumptions!$C$133</f>
        <v>161577.937722502</v>
      </c>
      <c r="U19" s="65" t="n">
        <f aca="false">U15*Assumptions!$C$133</f>
        <v>163536.34014356</v>
      </c>
      <c r="V19" s="65" t="n">
        <f aca="false">V15*Assumptions!$C$133</f>
        <v>165575.501668674</v>
      </c>
      <c r="W19" s="65" t="n">
        <f aca="false">W15*Assumptions!$C$133</f>
        <v>166902.261337096</v>
      </c>
      <c r="X19" s="65" t="n">
        <f aca="false">X15*Assumptions!$C$133</f>
        <v>167302.93733303</v>
      </c>
      <c r="Y19" s="65" t="n">
        <f aca="false">Y15*Assumptions!$C$133</f>
        <v>169747.289362714</v>
      </c>
      <c r="Z19" s="65" t="n">
        <f aca="false">Z15*Assumptions!$C$133</f>
        <v>172263.816511128</v>
      </c>
      <c r="AA19" s="65" t="n">
        <f aca="false">AA15*Assumptions!$C$133</f>
        <v>174452.303244513</v>
      </c>
      <c r="AB19" s="65" t="n">
        <f aca="false">AB15*Assumptions!$C$133</f>
        <v>176090.351414387</v>
      </c>
    </row>
    <row r="20" customFormat="false" ht="15" hidden="false" customHeight="false" outlineLevel="0" collapsed="false">
      <c r="A20" s="28" t="s">
        <v>858</v>
      </c>
      <c r="B20" s="62" t="s">
        <v>885</v>
      </c>
      <c r="C20" s="64" t="n">
        <f aca="false">SUM(E20:P20)</f>
        <v>2652466.83237954</v>
      </c>
      <c r="D20" s="64" t="n">
        <f aca="false">SUM(Q20:AB20)</f>
        <v>3135953.13698087</v>
      </c>
      <c r="E20" s="65" t="n">
        <f aca="false">E18*(1+Assumptions!$C$18*Assumptions!$C$24)</f>
        <v>197970.8031</v>
      </c>
      <c r="F20" s="65" t="n">
        <f aca="false">F18*(1+Assumptions!$C$18*Assumptions!$C$24)</f>
        <v>200417.8531</v>
      </c>
      <c r="G20" s="65" t="n">
        <f aca="false">G18*(1+Assumptions!$C$18*Assumptions!$C$24)</f>
        <v>208188.0489</v>
      </c>
      <c r="H20" s="65" t="n">
        <f aca="false">H18*(1+Assumptions!$C$18*Assumptions!$C$24)</f>
        <v>211146.5051</v>
      </c>
      <c r="I20" s="65" t="n">
        <f aca="false">I18*(1+Assumptions!$C$18*Assumptions!$C$24)</f>
        <v>219652.3419</v>
      </c>
      <c r="J20" s="65" t="n">
        <f aca="false">J18*(1+Assumptions!$C$18*Assumptions!$C$24)</f>
        <v>227198.183</v>
      </c>
      <c r="K20" s="65" t="n">
        <f aca="false">K18*(1+Assumptions!$C$18*Assumptions!$C$24)</f>
        <v>226824.0296</v>
      </c>
      <c r="L20" s="65" t="n">
        <f aca="false">L18*(1+Assumptions!$C$18*Assumptions!$C$24)</f>
        <v>227251.5276</v>
      </c>
      <c r="M20" s="65" t="n">
        <f aca="false">M18*(1+Assumptions!$C$18*Assumptions!$C$24)</f>
        <v>227115.016426536</v>
      </c>
      <c r="N20" s="65" t="n">
        <f aca="false">N18*(1+Assumptions!$C$18*Assumptions!$C$24)</f>
        <v>231746.162915588</v>
      </c>
      <c r="O20" s="65" t="n">
        <f aca="false">O18*(1+Assumptions!$C$18*Assumptions!$C$24)</f>
        <v>235855.485610502</v>
      </c>
      <c r="P20" s="65" t="n">
        <f aca="false">P18*(1+Assumptions!$C$18*Assumptions!$C$24)</f>
        <v>239100.875126909</v>
      </c>
      <c r="Q20" s="65" t="n">
        <f aca="false">Q18*(1+Assumptions!$C$18*Assumptions!$C$24)</f>
        <v>243525.704613611</v>
      </c>
      <c r="R20" s="65" t="n">
        <f aca="false">R18*(1+Assumptions!$C$18*Assumptions!$C$24)</f>
        <v>247430.735845833</v>
      </c>
      <c r="S20" s="65" t="n">
        <f aca="false">S18*(1+Assumptions!$C$18*Assumptions!$C$24)</f>
        <v>251533.727079653</v>
      </c>
      <c r="T20" s="65" t="n">
        <f aca="false">T18*(1+Assumptions!$C$18*Assumptions!$C$24)</f>
        <v>254855.930711245</v>
      </c>
      <c r="U20" s="65" t="n">
        <f aca="false">U18*(1+Assumptions!$C$18*Assumptions!$C$24)</f>
        <v>257944.907329966</v>
      </c>
      <c r="V20" s="65" t="n">
        <f aca="false">V18*(1+Assumptions!$C$18*Assumptions!$C$24)</f>
        <v>261161.264808461</v>
      </c>
      <c r="W20" s="65" t="n">
        <f aca="false">W18*(1+Assumptions!$C$18*Assumptions!$C$24)</f>
        <v>263253.955028993</v>
      </c>
      <c r="X20" s="65" t="n">
        <f aca="false">X18*(1+Assumptions!$C$18*Assumptions!$C$24)</f>
        <v>263885.938920462</v>
      </c>
      <c r="Y20" s="65" t="n">
        <f aca="false">Y18*(1+Assumptions!$C$18*Assumptions!$C$24)</f>
        <v>267741.400998342</v>
      </c>
      <c r="Z20" s="65" t="n">
        <f aca="false">Z18*(1+Assumptions!$C$18*Assumptions!$C$24)</f>
        <v>271710.704466435</v>
      </c>
      <c r="AA20" s="65" t="n">
        <f aca="false">AA18*(1+Assumptions!$C$18*Assumptions!$C$24)</f>
        <v>275162.591717551</v>
      </c>
      <c r="AB20" s="65" t="n">
        <f aca="false">AB18*(1+Assumptions!$C$18*Assumptions!$C$24)</f>
        <v>277746.275460316</v>
      </c>
    </row>
    <row r="21" customFormat="false" ht="15" hidden="false" customHeight="false" outlineLevel="0" collapsed="false">
      <c r="A21" s="28" t="s">
        <v>862</v>
      </c>
      <c r="B21" s="62"/>
      <c r="C21" s="64" t="n">
        <f aca="false">SUM(E21:P21)</f>
        <v>219011.022857026</v>
      </c>
      <c r="D21" s="64" t="n">
        <f aca="false">SUM(Q21:AB21)</f>
        <v>258931.910392916</v>
      </c>
      <c r="E21" s="65" t="n">
        <f aca="false">E18*Assumptions!$C$24*Assumptions!$C$18</f>
        <v>16346.2131</v>
      </c>
      <c r="F21" s="65" t="n">
        <f aca="false">F18*Assumptions!$C$24*Assumptions!$C$18</f>
        <v>16548.2631</v>
      </c>
      <c r="G21" s="65" t="n">
        <f aca="false">G18*Assumptions!$C$24*Assumptions!$C$18</f>
        <v>17189.8389</v>
      </c>
      <c r="H21" s="65" t="n">
        <f aca="false">H18*Assumptions!$C$24*Assumptions!$C$18</f>
        <v>17434.1151</v>
      </c>
      <c r="I21" s="65" t="n">
        <f aca="false">I18*Assumptions!$C$24*Assumptions!$C$18</f>
        <v>18136.4319</v>
      </c>
      <c r="J21" s="65" t="n">
        <f aca="false">J18*Assumptions!$C$24*Assumptions!$C$18</f>
        <v>18759.483</v>
      </c>
      <c r="K21" s="65" t="n">
        <f aca="false">K18*Assumptions!$C$24*Assumptions!$C$18</f>
        <v>18728.5896</v>
      </c>
      <c r="L21" s="65" t="n">
        <f aca="false">L18*Assumptions!$C$24*Assumptions!$C$18</f>
        <v>18763.8876</v>
      </c>
      <c r="M21" s="65" t="n">
        <f aca="false">M18*Assumptions!$C$24*Assumptions!$C$18</f>
        <v>18752.6160352186</v>
      </c>
      <c r="N21" s="65" t="n">
        <f aca="false">N18*Assumptions!$C$24*Assumptions!$C$18</f>
        <v>19135.0042774339</v>
      </c>
      <c r="O21" s="65" t="n">
        <f aca="false">O18*Assumptions!$C$24*Assumptions!$C$18</f>
        <v>19474.3061513259</v>
      </c>
      <c r="P21" s="65" t="n">
        <f aca="false">P18*Assumptions!$C$24*Assumptions!$C$18</f>
        <v>19742.2740930475</v>
      </c>
      <c r="Q21" s="65" t="n">
        <f aca="false">Q18*Assumptions!$C$24*Assumptions!$C$18</f>
        <v>20107.626986445</v>
      </c>
      <c r="R21" s="65" t="n">
        <f aca="false">R18*Assumptions!$C$24*Assumptions!$C$18</f>
        <v>20430.0607579128</v>
      </c>
      <c r="S21" s="65" t="n">
        <f aca="false">S18*Assumptions!$C$24*Assumptions!$C$18</f>
        <v>20768.8398506135</v>
      </c>
      <c r="T21" s="65" t="n">
        <f aca="false">T18*Assumptions!$C$24*Assumptions!$C$18</f>
        <v>21043.1502422129</v>
      </c>
      <c r="U21" s="65" t="n">
        <f aca="false">U18*Assumptions!$C$24*Assumptions!$C$18</f>
        <v>21298.2033575201</v>
      </c>
      <c r="V21" s="65" t="n">
        <f aca="false">V18*Assumptions!$C$24*Assumptions!$C$18</f>
        <v>21563.7741584968</v>
      </c>
      <c r="W21" s="65" t="n">
        <f aca="false">W18*Assumptions!$C$24*Assumptions!$C$18</f>
        <v>21736.5650941371</v>
      </c>
      <c r="X21" s="65" t="n">
        <f aca="false">X18*Assumptions!$C$24*Assumptions!$C$18</f>
        <v>21788.7472503134</v>
      </c>
      <c r="Y21" s="65" t="n">
        <f aca="false">Y18*Assumptions!$C$24*Assumptions!$C$18</f>
        <v>22107.0881558264</v>
      </c>
      <c r="Z21" s="65" t="n">
        <f aca="false">Z18*Assumptions!$C$24*Assumptions!$C$18</f>
        <v>22434.8288091551</v>
      </c>
      <c r="AA21" s="65" t="n">
        <f aca="false">AA18*Assumptions!$C$24*Assumptions!$C$18</f>
        <v>22719.8470225501</v>
      </c>
      <c r="AB21" s="65" t="n">
        <f aca="false">AB18*Assumptions!$C$24*Assumptions!$C$18</f>
        <v>22933.1787077326</v>
      </c>
    </row>
    <row r="22" customFormat="false" ht="15" hidden="false" customHeight="false" outlineLevel="0" collapsed="false">
      <c r="A22" s="28" t="s">
        <v>863</v>
      </c>
      <c r="B22" s="62"/>
      <c r="C22" s="64" t="n">
        <f aca="false">SUM(E22:P22)</f>
        <v>851709.533332878</v>
      </c>
      <c r="D22" s="64" t="n">
        <f aca="false">SUM(Q22:AB22)</f>
        <v>1006957.42930578</v>
      </c>
      <c r="E22" s="65" t="n">
        <f aca="false">E18*Assumptions!$C$25</f>
        <v>63568.6065</v>
      </c>
      <c r="F22" s="65" t="n">
        <f aca="false">F18*Assumptions!$C$25</f>
        <v>64354.3565</v>
      </c>
      <c r="G22" s="65" t="n">
        <f aca="false">G18*Assumptions!$C$25</f>
        <v>66849.3735</v>
      </c>
      <c r="H22" s="65" t="n">
        <f aca="false">H18*Assumptions!$C$25</f>
        <v>67799.3365</v>
      </c>
      <c r="I22" s="65" t="n">
        <f aca="false">I18*Assumptions!$C$25</f>
        <v>70530.5685</v>
      </c>
      <c r="J22" s="65" t="n">
        <f aca="false">J18*Assumptions!$C$25</f>
        <v>72953.545</v>
      </c>
      <c r="K22" s="65" t="n">
        <f aca="false">K18*Assumptions!$C$25</f>
        <v>72833.404</v>
      </c>
      <c r="L22" s="65" t="n">
        <f aca="false">L18*Assumptions!$C$25</f>
        <v>72970.674</v>
      </c>
      <c r="M22" s="65" t="n">
        <f aca="false">M18*Assumptions!$C$25</f>
        <v>72926.8401369611</v>
      </c>
      <c r="N22" s="65" t="n">
        <f aca="false">N18*Assumptions!$C$25</f>
        <v>74413.9055233539</v>
      </c>
      <c r="O22" s="65" t="n">
        <f aca="false">O18*Assumptions!$C$25</f>
        <v>75733.4128107117</v>
      </c>
      <c r="P22" s="65" t="n">
        <f aca="false">P18*Assumptions!$C$25</f>
        <v>76775.5103618515</v>
      </c>
      <c r="Q22" s="65" t="n">
        <f aca="false">Q18*Assumptions!$C$25</f>
        <v>78196.3271695083</v>
      </c>
      <c r="R22" s="65" t="n">
        <f aca="false">R18*Assumptions!$C$25</f>
        <v>79450.2362807721</v>
      </c>
      <c r="S22" s="65" t="n">
        <f aca="false">S18*Assumptions!$C$25</f>
        <v>80767.7105301637</v>
      </c>
      <c r="T22" s="65" t="n">
        <f aca="false">T18*Assumptions!$C$25</f>
        <v>81834.4731641612</v>
      </c>
      <c r="U22" s="65" t="n">
        <f aca="false">U18*Assumptions!$C$25</f>
        <v>82826.3463903559</v>
      </c>
      <c r="V22" s="65" t="n">
        <f aca="false">V18*Assumptions!$C$25</f>
        <v>83859.1217274874</v>
      </c>
      <c r="W22" s="65" t="n">
        <f aca="false">W18*Assumptions!$C$25</f>
        <v>84531.0864771996</v>
      </c>
      <c r="X22" s="65" t="n">
        <f aca="false">X18*Assumptions!$C$25</f>
        <v>84734.0170845521</v>
      </c>
      <c r="Y22" s="65" t="n">
        <f aca="false">Y18*Assumptions!$C$25</f>
        <v>85972.0094948805</v>
      </c>
      <c r="Z22" s="65" t="n">
        <f aca="false">Z18*Assumptions!$C$25</f>
        <v>87246.5564800478</v>
      </c>
      <c r="AA22" s="65" t="n">
        <f aca="false">AA18*Assumptions!$C$25</f>
        <v>88354.9606432503</v>
      </c>
      <c r="AB22" s="65" t="n">
        <f aca="false">AB18*Assumptions!$C$25</f>
        <v>89184.5838634044</v>
      </c>
    </row>
    <row r="23" customFormat="false" ht="15" hidden="false" customHeight="false" outlineLevel="0" collapsed="false">
      <c r="A23" s="28" t="s">
        <v>575</v>
      </c>
      <c r="B23" s="62" t="s">
        <v>886</v>
      </c>
      <c r="C23" s="67" t="n">
        <f aca="false">SUM(E23:P23)</f>
        <v>77409.2312679483</v>
      </c>
      <c r="D23" s="67" t="n">
        <f aca="false">SUM(Q23:AB23)</f>
        <v>101697.462940543</v>
      </c>
      <c r="E23" s="68" t="n">
        <f aca="false">IF(E$5="A",Inputs_Actuals!E72,(E19+E16)*Assumptions!$C$134/(Assumptions!$C$116*Assumptions!E$215))</f>
        <v>5777.2</v>
      </c>
      <c r="F23" s="68" t="n">
        <f aca="false">IF(F$5="A",Inputs_Actuals!F72,(F19+F16)*Assumptions!$C$134/(Assumptions!$C$116*Assumptions!F$215))</f>
        <v>5839.7</v>
      </c>
      <c r="G23" s="68" t="n">
        <f aca="false">IF(G$5="A",Inputs_Actuals!G72,(G19+G16)*Assumptions!$C$134/(Assumptions!$C$116*Assumptions!G$215))</f>
        <v>6059.2</v>
      </c>
      <c r="H23" s="68" t="n">
        <f aca="false">IF(H$5="A",Inputs_Actuals!H72,(H19+H16)*Assumptions!$C$134/(Assumptions!$C$116*Assumptions!H$215))</f>
        <v>6145.7</v>
      </c>
      <c r="I23" s="68" t="n">
        <f aca="false">IF(I$5="A",Inputs_Actuals!I72,(I19+I16)*Assumptions!$C$134/(Assumptions!$C$116*Assumptions!I$215))</f>
        <v>6407.4</v>
      </c>
      <c r="J23" s="68" t="n">
        <f aca="false">IF(J$5="A",Inputs_Actuals!J72,(J19+J16)*Assumptions!$C$134/(Assumptions!$C$116*Assumptions!J$215))</f>
        <v>6641.2</v>
      </c>
      <c r="K23" s="68" t="n">
        <f aca="false">IF(K$5="A",Inputs_Actuals!K72,(K19+K16)*Assumptions!$C$134/(Assumptions!$C$116*Assumptions!K$215))</f>
        <v>6632.3</v>
      </c>
      <c r="L23" s="68" t="n">
        <f aca="false">IF(L$5="A",Inputs_Actuals!L72,(L19+L16)*Assumptions!$C$134/(Assumptions!$C$116*Assumptions!L$215))</f>
        <v>6651.6</v>
      </c>
      <c r="M23" s="68" t="n">
        <f aca="false">IF(M$5="A",Inputs_Actuals!M72,(M19+M16)*Assumptions!$C$134/(Assumptions!$C$116*Assumptions!M$215))</f>
        <v>6628.70838996768</v>
      </c>
      <c r="N23" s="68" t="n">
        <f aca="false">IF(N$5="A",Inputs_Actuals!N72,(N19+N16)*Assumptions!$C$134/(Assumptions!$C$116*Assumptions!N$215))</f>
        <v>6763.87567247574</v>
      </c>
      <c r="O23" s="68" t="n">
        <f aca="false">IF(O$5="A",Inputs_Actuals!O72,(O19+O16)*Assumptions!$C$134/(Assumptions!$C$116*Assumptions!O$215))</f>
        <v>6883.81270813923</v>
      </c>
      <c r="P23" s="68" t="n">
        <f aca="false">IF(P$5="A",Inputs_Actuals!P72,(P19+P16)*Assumptions!$C$134/(Assumptions!$C$116*Assumptions!P$215))</f>
        <v>6978.53449736569</v>
      </c>
      <c r="Q23" s="68" t="n">
        <f aca="false">IF(Q$5="A",Inputs_Actuals!Q72,(Q19+Q16)*Assumptions!$C$134/(Assumptions!$C$116*Assumptions!Q$215))</f>
        <v>7897.4223268705</v>
      </c>
      <c r="R23" s="68" t="n">
        <f aca="false">IF(R$5="A",Inputs_Actuals!R72,(R19+R16)*Assumptions!$C$134/(Assumptions!$C$116*Assumptions!R$215))</f>
        <v>8024.06062523578</v>
      </c>
      <c r="S23" s="68" t="n">
        <f aca="false">IF(S$5="A",Inputs_Actuals!S72,(S19+S16)*Assumptions!$C$134/(Assumptions!$C$116*Assumptions!S$215))</f>
        <v>8157.11867193493</v>
      </c>
      <c r="T23" s="68" t="n">
        <f aca="false">IF(T$5="A",Inputs_Actuals!T72,(T19+T16)*Assumptions!$C$134/(Assumptions!$C$116*Assumptions!T$215))</f>
        <v>8264.85614948858</v>
      </c>
      <c r="U23" s="68" t="n">
        <f aca="false">IF(U$5="A",Inputs_Actuals!U72,(U19+U16)*Assumptions!$C$134/(Assumptions!$C$116*Assumptions!U$215))</f>
        <v>8365.03018637135</v>
      </c>
      <c r="V23" s="68" t="n">
        <f aca="false">IF(V$5="A",Inputs_Actuals!V72,(V19+V16)*Assumptions!$C$134/(Assumptions!$C$116*Assumptions!V$215))</f>
        <v>8469.33512371736</v>
      </c>
      <c r="W23" s="68" t="n">
        <f aca="false">IF(W$5="A",Inputs_Actuals!W72,(W19+W16)*Assumptions!$C$134/(Assumptions!$C$116*Assumptions!W$215))</f>
        <v>8537.20006839364</v>
      </c>
      <c r="X23" s="68" t="n">
        <f aca="false">IF(X$5="A",Inputs_Actuals!X72,(X19+X16)*Assumptions!$C$134/(Assumptions!$C$116*Assumptions!X$215))</f>
        <v>8557.69500424704</v>
      </c>
      <c r="Y23" s="68" t="n">
        <f aca="false">IF(Y$5="A",Inputs_Actuals!Y72,(Y19+Y16)*Assumptions!$C$134/(Assumptions!$C$116*Assumptions!Y$215))</f>
        <v>8682.7257986043</v>
      </c>
      <c r="Z23" s="68" t="n">
        <f aca="false">IF(Z$5="A",Inputs_Actuals!Z72,(Z19+Z16)*Assumptions!$C$134/(Assumptions!$C$116*Assumptions!Z$215))</f>
        <v>8811.44841489146</v>
      </c>
      <c r="AA23" s="68" t="n">
        <f aca="false">IF(AA$5="A",Inputs_Actuals!AA72,(AA19+AA16)*Assumptions!$C$134/(Assumptions!$C$116*Assumptions!AA$215))</f>
        <v>8923.39147030756</v>
      </c>
      <c r="AB23" s="68" t="n">
        <f aca="false">IF(AB$5="A",Inputs_Actuals!AB72,(AB19+AB16)*Assumptions!$C$134/(Assumptions!$C$116*Assumptions!AB$215))</f>
        <v>9007.17910048017</v>
      </c>
    </row>
    <row r="24" customFormat="false" ht="15" hidden="false" customHeight="false" outlineLevel="0" collapsed="false">
      <c r="A24" s="28" t="s">
        <v>576</v>
      </c>
      <c r="B24" s="62" t="s">
        <v>886</v>
      </c>
      <c r="C24" s="67" t="n">
        <f aca="false">SUM(E24:P24)</f>
        <v>64507.5427232903</v>
      </c>
      <c r="D24" s="67" t="n">
        <f aca="false">SUM(Q24:AB24)</f>
        <v>84747.8857837856</v>
      </c>
      <c r="E24" s="68" t="n">
        <f aca="false">IF(E$5="A",Inputs_Actuals!E73,(E19+E16)*Assumptions!$C$135/(Assumptions!$C$117*Assumptions!E$215))</f>
        <v>4814.3</v>
      </c>
      <c r="F24" s="68" t="n">
        <f aca="false">IF(F$5="A",Inputs_Actuals!F73,(F19+F16)*Assumptions!$C$135/(Assumptions!$C$117*Assumptions!F$215))</f>
        <v>4866.4</v>
      </c>
      <c r="G24" s="68" t="n">
        <f aca="false">IF(G$5="A",Inputs_Actuals!G73,(G19+G16)*Assumptions!$C$135/(Assumptions!$C$117*Assumptions!G$215))</f>
        <v>5049.3</v>
      </c>
      <c r="H24" s="68" t="n">
        <f aca="false">IF(H$5="A",Inputs_Actuals!H73,(H19+H16)*Assumptions!$C$135/(Assumptions!$C$117*Assumptions!H$215))</f>
        <v>5121.4</v>
      </c>
      <c r="I24" s="68" t="n">
        <f aca="false">IF(I$5="A",Inputs_Actuals!I73,(I19+I16)*Assumptions!$C$135/(Assumptions!$C$117*Assumptions!I$215))</f>
        <v>5339.5</v>
      </c>
      <c r="J24" s="68" t="n">
        <f aca="false">IF(J$5="A",Inputs_Actuals!J73,(J19+J16)*Assumptions!$C$135/(Assumptions!$C$117*Assumptions!J$215))</f>
        <v>5534.3</v>
      </c>
      <c r="K24" s="68" t="n">
        <f aca="false">IF(K$5="A",Inputs_Actuals!K73,(K19+K16)*Assumptions!$C$135/(Assumptions!$C$117*Assumptions!K$215))</f>
        <v>5526.9</v>
      </c>
      <c r="L24" s="68" t="n">
        <f aca="false">IF(L$5="A",Inputs_Actuals!L73,(L19+L16)*Assumptions!$C$135/(Assumptions!$C$117*Assumptions!L$215))</f>
        <v>5543</v>
      </c>
      <c r="M24" s="68" t="n">
        <f aca="false">IF(M$5="A",Inputs_Actuals!M73,(M19+M16)*Assumptions!$C$135/(Assumptions!$C$117*Assumptions!M$215))</f>
        <v>5523.9236583064</v>
      </c>
      <c r="N24" s="68" t="n">
        <f aca="false">IF(N$5="A",Inputs_Actuals!N73,(N19+N16)*Assumptions!$C$135/(Assumptions!$C$117*Assumptions!N$215))</f>
        <v>5636.56306039645</v>
      </c>
      <c r="O24" s="68" t="n">
        <f aca="false">IF(O$5="A",Inputs_Actuals!O73,(O19+O16)*Assumptions!$C$135/(Assumptions!$C$117*Assumptions!O$215))</f>
        <v>5736.51059011602</v>
      </c>
      <c r="P24" s="68" t="n">
        <f aca="false">IF(P$5="A",Inputs_Actuals!P73,(P19+P16)*Assumptions!$C$135/(Assumptions!$C$117*Assumptions!P$215))</f>
        <v>5815.4454144714</v>
      </c>
      <c r="Q24" s="68" t="n">
        <f aca="false">IF(Q$5="A",Inputs_Actuals!Q73,(Q19+Q16)*Assumptions!$C$135/(Assumptions!$C$117*Assumptions!Q$215))</f>
        <v>6581.18527239208</v>
      </c>
      <c r="R24" s="68" t="n">
        <f aca="false">IF(R$5="A",Inputs_Actuals!R73,(R19+R16)*Assumptions!$C$135/(Assumptions!$C$117*Assumptions!R$215))</f>
        <v>6686.71718769649</v>
      </c>
      <c r="S24" s="68" t="n">
        <f aca="false">IF(S$5="A",Inputs_Actuals!S73,(S19+S16)*Assumptions!$C$135/(Assumptions!$C$117*Assumptions!S$215))</f>
        <v>6797.59889327911</v>
      </c>
      <c r="T24" s="68" t="n">
        <f aca="false">IF(T$5="A",Inputs_Actuals!T73,(T19+T16)*Assumptions!$C$135/(Assumptions!$C$117*Assumptions!T$215))</f>
        <v>6887.38012457382</v>
      </c>
      <c r="U24" s="68" t="n">
        <f aca="false">IF(U$5="A",Inputs_Actuals!U73,(U19+U16)*Assumptions!$C$135/(Assumptions!$C$117*Assumptions!U$215))</f>
        <v>6970.85848864279</v>
      </c>
      <c r="V24" s="68" t="n">
        <f aca="false">IF(V$5="A",Inputs_Actuals!V73,(V19+V16)*Assumptions!$C$135/(Assumptions!$C$117*Assumptions!V$215))</f>
        <v>7057.77926976446</v>
      </c>
      <c r="W24" s="68" t="n">
        <f aca="false">IF(W$5="A",Inputs_Actuals!W73,(W19+W16)*Assumptions!$C$135/(Assumptions!$C$117*Assumptions!W$215))</f>
        <v>7114.33339032803</v>
      </c>
      <c r="X24" s="68" t="n">
        <f aca="false">IF(X$5="A",Inputs_Actuals!X73,(X19+X16)*Assumptions!$C$135/(Assumptions!$C$117*Assumptions!X$215))</f>
        <v>7131.4125035392</v>
      </c>
      <c r="Y24" s="68" t="n">
        <f aca="false">IF(Y$5="A",Inputs_Actuals!Y73,(Y19+Y16)*Assumptions!$C$135/(Assumptions!$C$117*Assumptions!Y$215))</f>
        <v>7235.60483217025</v>
      </c>
      <c r="Z24" s="68" t="n">
        <f aca="false">IF(Z$5="A",Inputs_Actuals!Z73,(Z19+Z16)*Assumptions!$C$135/(Assumptions!$C$117*Assumptions!Z$215))</f>
        <v>7342.87367907622</v>
      </c>
      <c r="AA24" s="68" t="n">
        <f aca="false">IF(AA$5="A",Inputs_Actuals!AA73,(AA19+AA16)*Assumptions!$C$135/(Assumptions!$C$117*Assumptions!AA$215))</f>
        <v>7436.15955858963</v>
      </c>
      <c r="AB24" s="68" t="n">
        <f aca="false">IF(AB$5="A",Inputs_Actuals!AB73,(AB19+AB16)*Assumptions!$C$135/(Assumptions!$C$117*Assumptions!AB$215))</f>
        <v>7505.98258373347</v>
      </c>
    </row>
    <row r="25" customFormat="false" ht="15" hidden="false" customHeight="false" outlineLevel="0" collapsed="false">
      <c r="A25" s="28" t="s">
        <v>577</v>
      </c>
      <c r="B25" s="62" t="s">
        <v>886</v>
      </c>
      <c r="C25" s="67" t="n">
        <f aca="false">SUM(E25:P25)</f>
        <v>40639.8389156729</v>
      </c>
      <c r="D25" s="67" t="n">
        <f aca="false">SUM(Q25:AB25)</f>
        <v>53391.1680437849</v>
      </c>
      <c r="E25" s="68" t="n">
        <f aca="false">IF(E$5="A",Inputs_Actuals!E74,(E19+E16)*Assumptions!$C$136/(Assumptions!$C$118*Assumptions!E$215))</f>
        <v>3033</v>
      </c>
      <c r="F25" s="68" t="n">
        <f aca="false">IF(F$5="A",Inputs_Actuals!F74,(F19+F16)*Assumptions!$C$136/(Assumptions!$C$118*Assumptions!F$215))</f>
        <v>3065.9</v>
      </c>
      <c r="G25" s="68" t="n">
        <f aca="false">IF(G$5="A",Inputs_Actuals!G74,(G19+G16)*Assumptions!$C$136/(Assumptions!$C$118*Assumptions!G$215))</f>
        <v>3181.1</v>
      </c>
      <c r="H25" s="68" t="n">
        <f aca="false">IF(H$5="A",Inputs_Actuals!H74,(H19+H16)*Assumptions!$C$136/(Assumptions!$C$118*Assumptions!H$215))</f>
        <v>3226.5</v>
      </c>
      <c r="I25" s="68" t="n">
        <f aca="false">IF(I$5="A",Inputs_Actuals!I74,(I19+I16)*Assumptions!$C$136/(Assumptions!$C$118*Assumptions!I$215))</f>
        <v>3363.9</v>
      </c>
      <c r="J25" s="68" t="n">
        <f aca="false">IF(J$5="A",Inputs_Actuals!J74,(J19+J16)*Assumptions!$C$136/(Assumptions!$C$118*Assumptions!J$215))</f>
        <v>3486.6</v>
      </c>
      <c r="K25" s="68" t="n">
        <f aca="false">IF(K$5="A",Inputs_Actuals!K74,(K19+K16)*Assumptions!$C$136/(Assumptions!$C$118*Assumptions!K$215))</f>
        <v>3481.9</v>
      </c>
      <c r="L25" s="68" t="n">
        <f aca="false">IF(L$5="A",Inputs_Actuals!L74,(L19+L16)*Assumptions!$C$136/(Assumptions!$C$118*Assumptions!L$215))</f>
        <v>3492.1</v>
      </c>
      <c r="M25" s="68" t="n">
        <f aca="false">IF(M$5="A",Inputs_Actuals!M74,(M19+M16)*Assumptions!$C$136/(Assumptions!$C$118*Assumptions!M$215))</f>
        <v>3480.07190473303</v>
      </c>
      <c r="N25" s="68" t="n">
        <f aca="false">IF(N$5="A",Inputs_Actuals!N74,(N19+N16)*Assumptions!$C$136/(Assumptions!$C$118*Assumptions!N$215))</f>
        <v>3551.03472804976</v>
      </c>
      <c r="O25" s="68" t="n">
        <f aca="false">IF(O$5="A",Inputs_Actuals!O74,(O19+O16)*Assumptions!$C$136/(Assumptions!$C$118*Assumptions!O$215))</f>
        <v>3614.00167177309</v>
      </c>
      <c r="P25" s="68" t="n">
        <f aca="false">IF(P$5="A",Inputs_Actuals!P74,(P19+P16)*Assumptions!$C$136/(Assumptions!$C$118*Assumptions!P$215))</f>
        <v>3663.73061111698</v>
      </c>
      <c r="Q25" s="68" t="n">
        <f aca="false">IF(Q$5="A",Inputs_Actuals!Q74,(Q19+Q16)*Assumptions!$C$136/(Assumptions!$C$118*Assumptions!Q$215))</f>
        <v>4146.14672160701</v>
      </c>
      <c r="R25" s="68" t="n">
        <f aca="false">IF(R$5="A",Inputs_Actuals!R74,(R19+R16)*Assumptions!$C$136/(Assumptions!$C$118*Assumptions!R$215))</f>
        <v>4212.63182824879</v>
      </c>
      <c r="S25" s="68" t="n">
        <f aca="false">IF(S$5="A",Inputs_Actuals!S74,(S19+S16)*Assumptions!$C$136/(Assumptions!$C$118*Assumptions!S$215))</f>
        <v>4282.48730276584</v>
      </c>
      <c r="T25" s="68" t="n">
        <f aca="false">IF(T$5="A",Inputs_Actuals!T74,(T19+T16)*Assumptions!$C$136/(Assumptions!$C$118*Assumptions!T$215))</f>
        <v>4339.04947848151</v>
      </c>
      <c r="U25" s="68" t="n">
        <f aca="false">IF(U$5="A",Inputs_Actuals!U74,(U19+U16)*Assumptions!$C$136/(Assumptions!$C$118*Assumptions!U$215))</f>
        <v>4391.64084784496</v>
      </c>
      <c r="V25" s="68" t="n">
        <f aca="false">IF(V$5="A",Inputs_Actuals!V74,(V19+V16)*Assumptions!$C$136/(Assumptions!$C$118*Assumptions!V$215))</f>
        <v>4446.40093995161</v>
      </c>
      <c r="W25" s="68" t="n">
        <f aca="false">IF(W$5="A",Inputs_Actuals!W74,(W19+W16)*Assumptions!$C$136/(Assumptions!$C$118*Assumptions!W$215))</f>
        <v>4482.03003590666</v>
      </c>
      <c r="X25" s="68" t="n">
        <f aca="false">IF(X$5="A",Inputs_Actuals!X74,(X19+X16)*Assumptions!$C$136/(Assumptions!$C$118*Assumptions!X$215))</f>
        <v>4492.7898772297</v>
      </c>
      <c r="Y25" s="68" t="n">
        <f aca="false">IF(Y$5="A",Inputs_Actuals!Y74,(Y19+Y16)*Assumptions!$C$136/(Assumptions!$C$118*Assumptions!Y$215))</f>
        <v>4558.43104426726</v>
      </c>
      <c r="Z25" s="68" t="n">
        <f aca="false">IF(Z$5="A",Inputs_Actuals!Z74,(Z19+Z16)*Assumptions!$C$136/(Assumptions!$C$118*Assumptions!Z$215))</f>
        <v>4626.01041781802</v>
      </c>
      <c r="AA25" s="68" t="n">
        <f aca="false">IF(AA$5="A",Inputs_Actuals!AA74,(AA19+AA16)*Assumptions!$C$136/(Assumptions!$C$118*Assumptions!AA$215))</f>
        <v>4684.78052191147</v>
      </c>
      <c r="AB25" s="68" t="n">
        <f aca="false">IF(AB$5="A",Inputs_Actuals!AB74,(AB19+AB16)*Assumptions!$C$136/(Assumptions!$C$118*Assumptions!AB$215))</f>
        <v>4728.76902775209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887</v>
      </c>
    </row>
    <row r="3" customFormat="false" ht="15" hidden="false" customHeight="false" outlineLevel="0" collapsed="false">
      <c r="A3" s="49" t="s">
        <v>888</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889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890</v>
      </c>
      <c r="B9" s="62" t="s">
        <v>891</v>
      </c>
      <c r="C9" s="64" t="n">
        <f aca="false">SUM(E9:P9)</f>
        <v>441437.396371097</v>
      </c>
      <c r="D9" s="64" t="n">
        <f aca="false">SUM(Q9:AB9)</f>
        <v>578727.764292366</v>
      </c>
      <c r="E9" s="65" t="n">
        <f aca="false">IF(E$5="A",Inputs_Actuals!E37,Account_Register!$J$7*(1+Account_Register!$M$7*Assumptions!$F$183*IF(31&lt;6,1.35,1)))</f>
        <v>29800.75</v>
      </c>
      <c r="F9" s="65" t="n">
        <f aca="false">IF(F$5="A",Inputs_Actuals!F37,E9*(1+Account_Register!$M$7*Assumptions!$F$183*IF(32&lt;6,1.35,1)))</f>
        <v>29817.31</v>
      </c>
      <c r="G9" s="65" t="n">
        <f aca="false">IF(G$5="A",Inputs_Actuals!G37,F9*(1+Account_Register!$M$7*Assumptions!$F$183*IF(33&lt;6,1.35,1)))</f>
        <v>29483.15</v>
      </c>
      <c r="H9" s="65" t="n">
        <f aca="false">IF(H$5="A",Inputs_Actuals!H37,G9*(1+Account_Register!$M$7*Assumptions!$F$183*IF(34&lt;6,1.35,1)))</f>
        <v>32358.22</v>
      </c>
      <c r="I9" s="65" t="n">
        <f aca="false">IF(I$5="A",Inputs_Actuals!I37,H9*(1+Account_Register!$M$7*Assumptions!$F$183*IF(35&lt;6,1.35,1)))</f>
        <v>33059.57</v>
      </c>
      <c r="J9" s="65" t="n">
        <f aca="false">IF(J$5="A",Inputs_Actuals!J37,I9*(1+Account_Register!$M$7*Assumptions!$F$183*IF(36&lt;6,1.35,1))*Account_Register!$V$7)</f>
        <v>35682.11</v>
      </c>
      <c r="K9" s="65" t="n">
        <f aca="false">IF(K$5="A",Inputs_Actuals!K37,J9*(1+Account_Register!$M$7*Assumptions!$F$183*IF(37&lt;6,1.35,1)))</f>
        <v>40948.17</v>
      </c>
      <c r="L9" s="65" t="n">
        <f aca="false">IF(L$5="A",Inputs_Actuals!L37,K9*(1+Account_Register!$M$7*Assumptions!$F$183*IF(38&lt;6,1.35,1)))</f>
        <v>40247.35</v>
      </c>
      <c r="M9" s="65" t="n">
        <f aca="false">IF(M$5="A",Inputs_Actuals!M37,L9*(1+Account_Register!$M$7*Assumptions!$F$183*IF(39&lt;6,1.35,1)))</f>
        <v>41132.7917</v>
      </c>
      <c r="N9" s="65" t="n">
        <f aca="false">IF(N$5="A",Inputs_Actuals!N37,M9*(1+Account_Register!$M$7*Assumptions!$F$183*IF(40&lt;6,1.35,1)))</f>
        <v>42037.7131174</v>
      </c>
      <c r="O9" s="65" t="n">
        <f aca="false">IF(O$5="A",Inputs_Actuals!O37,N9*(1+Account_Register!$M$7*Assumptions!$F$183*IF(41&lt;6,1.35,1)))</f>
        <v>42962.5428059828</v>
      </c>
      <c r="P9" s="65" t="n">
        <f aca="false">IF(P$5="A",Inputs_Actuals!P37,O9*(1+Account_Register!$M$7*Assumptions!$F$183*IF(42&lt;6,1.35,1)))</f>
        <v>43907.7187477144</v>
      </c>
      <c r="Q9" s="65" t="n">
        <f aca="false">IF(Q$5="A",Inputs_Actuals!Q37,P9*(1+Account_Register!$M$7*Assumptions!$F$183*IF(43&lt;6,1.35,1)))</f>
        <v>44873.6885601641</v>
      </c>
      <c r="R9" s="65" t="n">
        <f aca="false">IF(R$5="A",Inputs_Actuals!R37,Q9*(1+Account_Register!$M$7*Assumptions!$F$183*IF(44&lt;6,1.35,1)))</f>
        <v>45860.9097084878</v>
      </c>
      <c r="S9" s="65" t="n">
        <f aca="false">IF(S$5="A",Inputs_Actuals!S37,R9*(1+Account_Register!$M$7*Assumptions!$F$183*IF(45&lt;6,1.35,1)))</f>
        <v>46869.8497220745</v>
      </c>
      <c r="T9" s="65" t="n">
        <f aca="false">IF(T$5="A",Inputs_Actuals!T37,S9*(1+Account_Register!$M$7*Assumptions!$F$183*IF(46&lt;6,1.35,1)))</f>
        <v>47900.9864159601</v>
      </c>
      <c r="U9" s="65" t="n">
        <f aca="false">IF(U$5="A",Inputs_Actuals!U37,T9*(1+Account_Register!$M$7*Assumptions!$F$183*IF(47&lt;6,1.35,1)))</f>
        <v>48954.8081171112</v>
      </c>
      <c r="V9" s="65" t="n">
        <f aca="false">IF(V$5="A",Inputs_Actuals!V37,U9*(1+Account_Register!$M$7*Assumptions!$F$183*IF(48&lt;6,1.35,1))*Account_Register!$V$7)</f>
        <v>46029.2687840327</v>
      </c>
      <c r="W9" s="65" t="n">
        <f aca="false">IF(W$5="A",Inputs_Actuals!W37,V9*(1+Account_Register!$M$7*Assumptions!$F$183*IF(49&lt;6,1.35,1)))</f>
        <v>47041.9126972814</v>
      </c>
      <c r="X9" s="65" t="n">
        <f aca="false">IF(X$5="A",Inputs_Actuals!X37,W9*(1+Account_Register!$M$7*Assumptions!$F$183*IF(50&lt;6,1.35,1)))</f>
        <v>48076.8347766216</v>
      </c>
      <c r="Y9" s="65" t="n">
        <f aca="false">IF(Y$5="A",Inputs_Actuals!Y37,X9*(1+Account_Register!$M$7*Assumptions!$F$183*IF(51&lt;6,1.35,1)))</f>
        <v>49134.5251417073</v>
      </c>
      <c r="Z9" s="65" t="n">
        <f aca="false">IF(Z$5="A",Inputs_Actuals!Z37,Y9*(1+Account_Register!$M$7*Assumptions!$F$183*IF(52&lt;6,1.35,1)))</f>
        <v>50215.4846948248</v>
      </c>
      <c r="AA9" s="65" t="n">
        <f aca="false">IF(AA$5="A",Inputs_Actuals!AA37,Z9*(1+Account_Register!$M$7*Assumptions!$F$183*IF(53&lt;6,1.35,1)))</f>
        <v>51320.225358111</v>
      </c>
      <c r="AB9" s="65" t="n">
        <f aca="false">IF(AB$5="A",Inputs_Actuals!AB37,AA9*(1+Account_Register!$M$7*Assumptions!$F$183*IF(54&lt;6,1.35,1)))</f>
        <v>52449.2703159894</v>
      </c>
    </row>
    <row r="10" customFormat="false" ht="15" hidden="false" customHeight="false" outlineLevel="0" collapsed="false">
      <c r="A10" s="28" t="s">
        <v>892</v>
      </c>
      <c r="B10" s="62" t="s">
        <v>891</v>
      </c>
      <c r="C10" s="64" t="n">
        <f aca="false">SUM(E10:P10)</f>
        <v>208674.792682921</v>
      </c>
      <c r="D10" s="64" t="n">
        <f aca="false">SUM(Q10:AB10)</f>
        <v>234850.049909028</v>
      </c>
      <c r="E10" s="65" t="n">
        <f aca="false">IF(E$5="A",Inputs_Actuals!E38,Account_Register!$J$8*(1+Account_Register!$M$8*Assumptions!$F$183*IF(27&lt;6,1.35,1)))</f>
        <v>15637.85</v>
      </c>
      <c r="F10" s="65" t="n">
        <f aca="false">IF(F$5="A",Inputs_Actuals!F38,E10*(1+Account_Register!$M$8*Assumptions!$F$183*IF(28&lt;6,1.35,1)))</f>
        <v>15657.55</v>
      </c>
      <c r="G10" s="65" t="n">
        <f aca="false">IF(G$5="A",Inputs_Actuals!G38,F10*(1+Account_Register!$M$8*Assumptions!$F$183*IF(29&lt;6,1.35,1)))</f>
        <v>17732.24</v>
      </c>
      <c r="H10" s="65" t="n">
        <f aca="false">IF(H$5="A",Inputs_Actuals!H38,G10*(1+Account_Register!$M$8*Assumptions!$F$183*IF(30&lt;6,1.35,1)))</f>
        <v>16912.76</v>
      </c>
      <c r="I10" s="65" t="n">
        <f aca="false">IF(I$5="A",Inputs_Actuals!I38,H10*(1+Account_Register!$M$8*Assumptions!$F$183*IF(31&lt;6,1.35,1)))</f>
        <v>16561.97</v>
      </c>
      <c r="J10" s="65" t="n">
        <f aca="false">IF(J$5="A",Inputs_Actuals!J38,I10*(1+Account_Register!$M$8*Assumptions!$F$183*IF(32&lt;6,1.35,1)))</f>
        <v>19319.15</v>
      </c>
      <c r="K10" s="65" t="n">
        <f aca="false">IF(K$5="A",Inputs_Actuals!K38,J10*(1+Account_Register!$M$8*Assumptions!$F$183*IF(33&lt;6,1.35,1)))</f>
        <v>18345.87</v>
      </c>
      <c r="L10" s="65" t="n">
        <f aca="false">IF(L$5="A",Inputs_Actuals!L38,K10*(1+Account_Register!$M$8*Assumptions!$F$183*IF(34&lt;6,1.35,1)))</f>
        <v>18115.84</v>
      </c>
      <c r="M10" s="65" t="n">
        <f aca="false">IF(M$5="A",Inputs_Actuals!M38,L10*(1+Account_Register!$M$8*Assumptions!$F$183*IF(35&lt;6,1.35,1)))</f>
        <v>18478.1568</v>
      </c>
      <c r="N10" s="65" t="n">
        <f aca="false">IF(N$5="A",Inputs_Actuals!N38,M10*(1+Account_Register!$M$8*Assumptions!$F$183*IF(36&lt;6,1.35,1))*Account_Register!$V$8)</f>
        <v>16962.9479424</v>
      </c>
      <c r="O10" s="65" t="n">
        <f aca="false">IF(O$5="A",Inputs_Actuals!O38,N10*(1+Account_Register!$M$8*Assumptions!$F$183*IF(37&lt;6,1.35,1)))</f>
        <v>17302.206901248</v>
      </c>
      <c r="P10" s="65" t="n">
        <f aca="false">IF(P$5="A",Inputs_Actuals!P38,O10*(1+Account_Register!$M$8*Assumptions!$F$183*IF(38&lt;6,1.35,1)))</f>
        <v>17648.251039273</v>
      </c>
      <c r="Q10" s="65" t="n">
        <f aca="false">IF(Q$5="A",Inputs_Actuals!Q38,P10*(1+Account_Register!$M$8*Assumptions!$F$183*IF(39&lt;6,1.35,1)))</f>
        <v>18001.2160600584</v>
      </c>
      <c r="R10" s="65" t="n">
        <f aca="false">IF(R$5="A",Inputs_Actuals!R38,Q10*(1+Account_Register!$M$8*Assumptions!$F$183*IF(40&lt;6,1.35,1)))</f>
        <v>18361.2403812596</v>
      </c>
      <c r="S10" s="65" t="n">
        <f aca="false">IF(S$5="A",Inputs_Actuals!S38,R10*(1+Account_Register!$M$8*Assumptions!$F$183*IF(41&lt;6,1.35,1)))</f>
        <v>18728.4651888848</v>
      </c>
      <c r="T10" s="65" t="n">
        <f aca="false">IF(T$5="A",Inputs_Actuals!T38,S10*(1+Account_Register!$M$8*Assumptions!$F$183*IF(42&lt;6,1.35,1)))</f>
        <v>19103.0344926625</v>
      </c>
      <c r="U10" s="65" t="n">
        <f aca="false">IF(U$5="A",Inputs_Actuals!U38,T10*(1+Account_Register!$M$8*Assumptions!$F$183*IF(43&lt;6,1.35,1)))</f>
        <v>19485.0951825157</v>
      </c>
      <c r="V10" s="65" t="n">
        <f aca="false">IF(V$5="A",Inputs_Actuals!V38,U10*(1+Account_Register!$M$8*Assumptions!$F$183*IF(44&lt;6,1.35,1)))</f>
        <v>19874.797086166</v>
      </c>
      <c r="W10" s="65" t="n">
        <f aca="false">IF(W$5="A",Inputs_Actuals!W38,V10*(1+Account_Register!$M$8*Assumptions!$F$183*IF(45&lt;6,1.35,1)))</f>
        <v>20272.2930278894</v>
      </c>
      <c r="X10" s="65" t="n">
        <f aca="false">IF(X$5="A",Inputs_Actuals!X38,W10*(1+Account_Register!$M$8*Assumptions!$F$183*IF(46&lt;6,1.35,1)))</f>
        <v>20677.7388884472</v>
      </c>
      <c r="Y10" s="65" t="n">
        <f aca="false">IF(Y$5="A",Inputs_Actuals!Y38,X10*(1+Account_Register!$M$8*Assumptions!$F$183*IF(47&lt;6,1.35,1)))</f>
        <v>21091.2936662161</v>
      </c>
      <c r="Z10" s="65" t="n">
        <f aca="false">IF(Z$5="A",Inputs_Actuals!Z38,Y10*(1+Account_Register!$M$8*Assumptions!$F$183*IF(48&lt;6,1.35,1))*Account_Register!$V$8)</f>
        <v>19361.8075855864</v>
      </c>
      <c r="AA10" s="65" t="n">
        <f aca="false">IF(AA$5="A",Inputs_Actuals!AA38,Z10*(1+Account_Register!$M$8*Assumptions!$F$183*IF(49&lt;6,1.35,1)))</f>
        <v>19749.0437372981</v>
      </c>
      <c r="AB10" s="65" t="n">
        <f aca="false">IF(AB$5="A",Inputs_Actuals!AB38,AA10*(1+Account_Register!$M$8*Assumptions!$F$183*IF(50&lt;6,1.35,1)))</f>
        <v>20144.0246120441</v>
      </c>
    </row>
    <row r="11" customFormat="false" ht="15" hidden="false" customHeight="false" outlineLevel="0" collapsed="false">
      <c r="A11" s="28" t="s">
        <v>893</v>
      </c>
      <c r="B11" s="62" t="s">
        <v>891</v>
      </c>
      <c r="C11" s="64" t="n">
        <f aca="false">SUM(E11:P11)</f>
        <v>388843.273290011</v>
      </c>
      <c r="D11" s="64" t="n">
        <f aca="false">SUM(Q11:AB11)</f>
        <v>451866.007439611</v>
      </c>
      <c r="E11" s="65" t="n">
        <f aca="false">IF(E$5="A",Inputs_Actuals!E39,Account_Register!$J$9*(1+Account_Register!$M$9*Assumptions!$F$183*IF(23&lt;6,1.35,1)))</f>
        <v>26851.15</v>
      </c>
      <c r="F11" s="65" t="n">
        <f aca="false">IF(F$5="A",Inputs_Actuals!F39,E11*(1+Account_Register!$M$9*Assumptions!$F$183*IF(24&lt;6,1.35,1))*Account_Register!$V$9)</f>
        <v>27589.77</v>
      </c>
      <c r="G11" s="65" t="n">
        <f aca="false">IF(G$5="A",Inputs_Actuals!G39,F11*(1+Account_Register!$M$9*Assumptions!$F$183*IF(25&lt;6,1.35,1)))</f>
        <v>28650.36</v>
      </c>
      <c r="H11" s="65" t="n">
        <f aca="false">IF(H$5="A",Inputs_Actuals!H39,G11*(1+Account_Register!$M$9*Assumptions!$F$183*IF(26&lt;6,1.35,1)))</f>
        <v>30600.37</v>
      </c>
      <c r="I11" s="65" t="n">
        <f aca="false">IF(I$5="A",Inputs_Actuals!I39,H11*(1+Account_Register!$M$9*Assumptions!$F$183*IF(27&lt;6,1.35,1)))</f>
        <v>31839.71</v>
      </c>
      <c r="J11" s="65" t="n">
        <f aca="false">IF(J$5="A",Inputs_Actuals!J39,I11*(1+Account_Register!$M$9*Assumptions!$F$183*IF(28&lt;6,1.35,1)))</f>
        <v>30398.67</v>
      </c>
      <c r="K11" s="65" t="n">
        <f aca="false">IF(K$5="A",Inputs_Actuals!K39,J11*(1+Account_Register!$M$9*Assumptions!$F$183*IF(29&lt;6,1.35,1)))</f>
        <v>34924.96</v>
      </c>
      <c r="L11" s="65" t="n">
        <f aca="false">IF(L$5="A",Inputs_Actuals!L39,K11*(1+Account_Register!$M$9*Assumptions!$F$183*IF(30&lt;6,1.35,1)))</f>
        <v>34339</v>
      </c>
      <c r="M11" s="65" t="n">
        <f aca="false">IF(M$5="A",Inputs_Actuals!M39,L11*(1+Account_Register!$M$9*Assumptions!$F$183*IF(31&lt;6,1.35,1)))</f>
        <v>34957.102</v>
      </c>
      <c r="N11" s="65" t="n">
        <f aca="false">IF(N$5="A",Inputs_Actuals!N39,M11*(1+Account_Register!$M$9*Assumptions!$F$183*IF(32&lt;6,1.35,1)))</f>
        <v>35586.329836</v>
      </c>
      <c r="O11" s="65" t="n">
        <f aca="false">IF(O$5="A",Inputs_Actuals!O39,N11*(1+Account_Register!$M$9*Assumptions!$F$183*IF(33&lt;6,1.35,1)))</f>
        <v>36226.883773048</v>
      </c>
      <c r="P11" s="65" t="n">
        <f aca="false">IF(P$5="A",Inputs_Actuals!P39,O11*(1+Account_Register!$M$9*Assumptions!$F$183*IF(34&lt;6,1.35,1)))</f>
        <v>36878.9676809629</v>
      </c>
      <c r="Q11" s="65" t="n">
        <f aca="false">IF(Q$5="A",Inputs_Actuals!Q39,P11*(1+Account_Register!$M$9*Assumptions!$F$183*IF(35&lt;6,1.35,1)))</f>
        <v>37542.7890992202</v>
      </c>
      <c r="R11" s="65" t="n">
        <f aca="false">IF(R$5="A",Inputs_Actuals!R39,Q11*(1+Account_Register!$M$9*Assumptions!$F$183*IF(36&lt;6,1.35,1))*Account_Register!$V$9)</f>
        <v>34396.7033727055</v>
      </c>
      <c r="S11" s="65" t="n">
        <f aca="false">IF(S$5="A",Inputs_Actuals!S39,R11*(1+Account_Register!$M$9*Assumptions!$F$183*IF(37&lt;6,1.35,1)))</f>
        <v>35015.8440334142</v>
      </c>
      <c r="T11" s="65" t="n">
        <f aca="false">IF(T$5="A",Inputs_Actuals!T39,S11*(1+Account_Register!$M$9*Assumptions!$F$183*IF(38&lt;6,1.35,1)))</f>
        <v>35646.1292260157</v>
      </c>
      <c r="U11" s="65" t="n">
        <f aca="false">IF(U$5="A",Inputs_Actuals!U39,T11*(1+Account_Register!$M$9*Assumptions!$F$183*IF(39&lt;6,1.35,1)))</f>
        <v>36287.759552084</v>
      </c>
      <c r="V11" s="65" t="n">
        <f aca="false">IF(V$5="A",Inputs_Actuals!V39,U11*(1+Account_Register!$M$9*Assumptions!$F$183*IF(40&lt;6,1.35,1)))</f>
        <v>36940.9392240215</v>
      </c>
      <c r="W11" s="65" t="n">
        <f aca="false">IF(W$5="A",Inputs_Actuals!W39,V11*(1+Account_Register!$M$9*Assumptions!$F$183*IF(41&lt;6,1.35,1)))</f>
        <v>37605.8761300539</v>
      </c>
      <c r="X11" s="65" t="n">
        <f aca="false">IF(X$5="A",Inputs_Actuals!X39,W11*(1+Account_Register!$M$9*Assumptions!$F$183*IF(42&lt;6,1.35,1)))</f>
        <v>38282.7819003949</v>
      </c>
      <c r="Y11" s="65" t="n">
        <f aca="false">IF(Y$5="A",Inputs_Actuals!Y39,X11*(1+Account_Register!$M$9*Assumptions!$F$183*IF(43&lt;6,1.35,1)))</f>
        <v>38971.871974602</v>
      </c>
      <c r="Z11" s="65" t="n">
        <f aca="false">IF(Z$5="A",Inputs_Actuals!Z39,Y11*(1+Account_Register!$M$9*Assumptions!$F$183*IF(44&lt;6,1.35,1)))</f>
        <v>39673.3656701448</v>
      </c>
      <c r="AA11" s="65" t="n">
        <f aca="false">IF(AA$5="A",Inputs_Actuals!AA39,Z11*(1+Account_Register!$M$9*Assumptions!$F$183*IF(45&lt;6,1.35,1)))</f>
        <v>40387.4862522074</v>
      </c>
      <c r="AB11" s="65" t="n">
        <f aca="false">IF(AB$5="A",Inputs_Actuals!AB39,AA11*(1+Account_Register!$M$9*Assumptions!$F$183*IF(46&lt;6,1.35,1)))</f>
        <v>41114.4610047471</v>
      </c>
    </row>
    <row r="12" customFormat="false" ht="15" hidden="false" customHeight="false" outlineLevel="0" collapsed="false">
      <c r="A12" s="28" t="s">
        <v>894</v>
      </c>
      <c r="B12" s="62" t="s">
        <v>891</v>
      </c>
      <c r="C12" s="64" t="n">
        <f aca="false">SUM(E12:P12)</f>
        <v>181626.091892998</v>
      </c>
      <c r="D12" s="64" t="n">
        <f aca="false">SUM(Q12:AB12)</f>
        <v>185827.081710321</v>
      </c>
      <c r="E12" s="65" t="n">
        <f aca="false">IF(E$5="A",Inputs_Actuals!E40,Account_Register!$J$10*(1+Account_Register!$M$10*Assumptions!$F$183*IF(21&lt;6,1.35,1)))</f>
        <v>13618.17</v>
      </c>
      <c r="F12" s="65" t="n">
        <f aca="false">IF(F$5="A",Inputs_Actuals!F40,E12*(1+Account_Register!$M$10*Assumptions!$F$183*IF(22&lt;6,1.35,1)))</f>
        <v>15121.65</v>
      </c>
      <c r="G12" s="65" t="n">
        <f aca="false">IF(G$5="A",Inputs_Actuals!G40,F12*(1+Account_Register!$M$10*Assumptions!$F$183*IF(23&lt;6,1.35,1)))</f>
        <v>15187.01</v>
      </c>
      <c r="H12" s="65" t="n">
        <f aca="false">IF(H$5="A",Inputs_Actuals!H40,G12*(1+Account_Register!$M$10*Assumptions!$F$183*IF(24&lt;6,1.35,1))*Account_Register!$V$10)</f>
        <v>14753.92</v>
      </c>
      <c r="I12" s="65" t="n">
        <f aca="false">IF(I$5="A",Inputs_Actuals!I40,H12*(1+Account_Register!$M$10*Assumptions!$F$183*IF(25&lt;6,1.35,1)))</f>
        <v>15217.42</v>
      </c>
      <c r="J12" s="65" t="n">
        <f aca="false">IF(J$5="A",Inputs_Actuals!J40,I12*(1+Account_Register!$M$10*Assumptions!$F$183*IF(26&lt;6,1.35,1)))</f>
        <v>15745.31</v>
      </c>
      <c r="K12" s="65" t="n">
        <f aca="false">IF(K$5="A",Inputs_Actuals!K40,J12*(1+Account_Register!$M$10*Assumptions!$F$183*IF(27&lt;6,1.35,1)))</f>
        <v>16254.09</v>
      </c>
      <c r="L12" s="65" t="n">
        <f aca="false">IF(L$5="A",Inputs_Actuals!L40,K12*(1+Account_Register!$M$10*Assumptions!$F$183*IF(28&lt;6,1.35,1)))</f>
        <v>14639.43</v>
      </c>
      <c r="M12" s="65" t="n">
        <f aca="false">IF(M$5="A",Inputs_Actuals!M40,L12*(1+Account_Register!$M$10*Assumptions!$F$183*IF(29&lt;6,1.35,1)))</f>
        <v>14888.30031</v>
      </c>
      <c r="N12" s="65" t="n">
        <f aca="false">IF(N$5="A",Inputs_Actuals!N40,M12*(1+Account_Register!$M$10*Assumptions!$F$183*IF(30&lt;6,1.35,1)))</f>
        <v>15141.40141527</v>
      </c>
      <c r="O12" s="65" t="n">
        <f aca="false">IF(O$5="A",Inputs_Actuals!O40,N12*(1+Account_Register!$M$10*Assumptions!$F$183*IF(31&lt;6,1.35,1)))</f>
        <v>15398.8052393296</v>
      </c>
      <c r="P12" s="65" t="n">
        <f aca="false">IF(P$5="A",Inputs_Actuals!P40,O12*(1+Account_Register!$M$10*Assumptions!$F$183*IF(32&lt;6,1.35,1)))</f>
        <v>15660.5849283982</v>
      </c>
      <c r="Q12" s="65" t="n">
        <f aca="false">IF(Q$5="A",Inputs_Actuals!Q40,P12*(1+Account_Register!$M$10*Assumptions!$F$183*IF(33&lt;6,1.35,1)))</f>
        <v>15926.814872181</v>
      </c>
      <c r="R12" s="65" t="n">
        <f aca="false">IF(R$5="A",Inputs_Actuals!R40,Q12*(1+Account_Register!$M$10*Assumptions!$F$183*IF(34&lt;6,1.35,1)))</f>
        <v>16197.570725008</v>
      </c>
      <c r="S12" s="65" t="n">
        <f aca="false">IF(S$5="A",Inputs_Actuals!S40,R12*(1+Account_Register!$M$10*Assumptions!$F$183*IF(35&lt;6,1.35,1)))</f>
        <v>16472.9294273332</v>
      </c>
      <c r="T12" s="65" t="n">
        <f aca="false">IF(T$5="A",Inputs_Actuals!T40,S12*(1+Account_Register!$M$10*Assumptions!$F$183*IF(36&lt;6,1.35,1))*Account_Register!$V$10)</f>
        <v>14240.0238434582</v>
      </c>
      <c r="U12" s="65" t="n">
        <f aca="false">IF(U$5="A",Inputs_Actuals!U40,T12*(1+Account_Register!$M$10*Assumptions!$F$183*IF(37&lt;6,1.35,1)))</f>
        <v>14482.1042487969</v>
      </c>
      <c r="V12" s="65" t="n">
        <f aca="false">IF(V$5="A",Inputs_Actuals!V40,U12*(1+Account_Register!$M$10*Assumptions!$F$183*IF(38&lt;6,1.35,1)))</f>
        <v>14728.3000210265</v>
      </c>
      <c r="W12" s="65" t="n">
        <f aca="false">IF(W$5="A",Inputs_Actuals!W40,V12*(1+Account_Register!$M$10*Assumptions!$F$183*IF(39&lt;6,1.35,1)))</f>
        <v>14978.6811213839</v>
      </c>
      <c r="X12" s="65" t="n">
        <f aca="false">IF(X$5="A",Inputs_Actuals!X40,W12*(1+Account_Register!$M$10*Assumptions!$F$183*IF(40&lt;6,1.35,1)))</f>
        <v>15233.3187004475</v>
      </c>
      <c r="Y12" s="65" t="n">
        <f aca="false">IF(Y$5="A",Inputs_Actuals!Y40,X12*(1+Account_Register!$M$10*Assumptions!$F$183*IF(41&lt;6,1.35,1)))</f>
        <v>15492.2851183551</v>
      </c>
      <c r="Z12" s="65" t="n">
        <f aca="false">IF(Z$5="A",Inputs_Actuals!Z40,Y12*(1+Account_Register!$M$10*Assumptions!$F$183*IF(42&lt;6,1.35,1)))</f>
        <v>15755.6539653671</v>
      </c>
      <c r="AA12" s="65" t="n">
        <f aca="false">IF(AA$5="A",Inputs_Actuals!AA40,Z12*(1+Account_Register!$M$10*Assumptions!$F$183*IF(43&lt;6,1.35,1)))</f>
        <v>16023.5000827783</v>
      </c>
      <c r="AB12" s="65" t="n">
        <f aca="false">IF(AB$5="A",Inputs_Actuals!AB40,AA12*(1+Account_Register!$M$10*Assumptions!$F$183*IF(44&lt;6,1.35,1)))</f>
        <v>16295.8995841856</v>
      </c>
    </row>
    <row r="13" customFormat="false" ht="15" hidden="false" customHeight="false" outlineLevel="0" collapsed="false">
      <c r="A13" s="28" t="s">
        <v>895</v>
      </c>
      <c r="B13" s="62" t="s">
        <v>891</v>
      </c>
      <c r="C13" s="64" t="n">
        <f aca="false">SUM(E13:P13)</f>
        <v>192082.888371477</v>
      </c>
      <c r="D13" s="64" t="n">
        <f aca="false">SUM(Q13:AB13)</f>
        <v>231303.279826971</v>
      </c>
      <c r="E13" s="65" t="n">
        <f aca="false">IF(E$5="A",Inputs_Actuals!E41,Account_Register!$J$11*(1+Account_Register!$M$11*Assumptions!$F$183*IF(18&lt;6,1.35,1)))</f>
        <v>15535.94</v>
      </c>
      <c r="F13" s="65" t="n">
        <f aca="false">IF(F$5="A",Inputs_Actuals!F41,E13*(1+Account_Register!$M$11*Assumptions!$F$183*IF(19&lt;6,1.35,1)))</f>
        <v>15857.13</v>
      </c>
      <c r="G13" s="65" t="n">
        <f aca="false">IF(G$5="A",Inputs_Actuals!G41,F13*(1+Account_Register!$M$11*Assumptions!$F$183*IF(20&lt;6,1.35,1)))</f>
        <v>15384.78</v>
      </c>
      <c r="H13" s="65" t="n">
        <f aca="false">IF(H$5="A",Inputs_Actuals!H41,G13*(1+Account_Register!$M$11*Assumptions!$F$183*IF(21&lt;6,1.35,1)))</f>
        <v>14057.72</v>
      </c>
      <c r="I13" s="65" t="n">
        <f aca="false">IF(I$5="A",Inputs_Actuals!I41,H13*(1+Account_Register!$M$11*Assumptions!$F$183*IF(22&lt;6,1.35,1)))</f>
        <v>14889.29</v>
      </c>
      <c r="J13" s="65" t="n">
        <f aca="false">IF(J$5="A",Inputs_Actuals!J41,I13*(1+Account_Register!$M$11*Assumptions!$F$183*IF(23&lt;6,1.35,1)))</f>
        <v>14835.98</v>
      </c>
      <c r="K13" s="65" t="n">
        <f aca="false">IF(K$5="A",Inputs_Actuals!K41,J13*(1+Account_Register!$M$11*Assumptions!$F$183*IF(24&lt;6,1.35,1))*Account_Register!$V$11)</f>
        <v>15921.18</v>
      </c>
      <c r="L13" s="65" t="n">
        <f aca="false">IF(L$5="A",Inputs_Actuals!L41,K13*(1+Account_Register!$M$11*Assumptions!$F$183*IF(25&lt;6,1.35,1)))</f>
        <v>16481.85</v>
      </c>
      <c r="M13" s="65" t="n">
        <f aca="false">IF(M$5="A",Inputs_Actuals!M41,L13*(1+Account_Register!$M$11*Assumptions!$F$183*IF(26&lt;6,1.35,1)))</f>
        <v>16795.00515</v>
      </c>
      <c r="N13" s="65" t="n">
        <f aca="false">IF(N$5="A",Inputs_Actuals!N41,M13*(1+Account_Register!$M$11*Assumptions!$F$183*IF(27&lt;6,1.35,1)))</f>
        <v>17114.11024785</v>
      </c>
      <c r="O13" s="65" t="n">
        <f aca="false">IF(O$5="A",Inputs_Actuals!O41,N13*(1+Account_Register!$M$11*Assumptions!$F$183*IF(28&lt;6,1.35,1)))</f>
        <v>17439.2783425591</v>
      </c>
      <c r="P13" s="65" t="n">
        <f aca="false">IF(P$5="A",Inputs_Actuals!P41,O13*(1+Account_Register!$M$11*Assumptions!$F$183*IF(29&lt;6,1.35,1)))</f>
        <v>17770.6246310678</v>
      </c>
      <c r="Q13" s="65" t="n">
        <f aca="false">IF(Q$5="A",Inputs_Actuals!Q41,P13*(1+Account_Register!$M$11*Assumptions!$F$183*IF(30&lt;6,1.35,1)))</f>
        <v>18108.2664990581</v>
      </c>
      <c r="R13" s="65" t="n">
        <f aca="false">IF(R$5="A",Inputs_Actuals!R41,Q13*(1+Account_Register!$M$11*Assumptions!$F$183*IF(31&lt;6,1.35,1)))</f>
        <v>18452.3235625402</v>
      </c>
      <c r="S13" s="65" t="n">
        <f aca="false">IF(S$5="A",Inputs_Actuals!S41,R13*(1+Account_Register!$M$11*Assumptions!$F$183*IF(32&lt;6,1.35,1)))</f>
        <v>18802.9177102284</v>
      </c>
      <c r="T13" s="65" t="n">
        <f aca="false">IF(T$5="A",Inputs_Actuals!T41,S13*(1+Account_Register!$M$11*Assumptions!$F$183*IF(33&lt;6,1.35,1)))</f>
        <v>19160.1731467228</v>
      </c>
      <c r="U13" s="65" t="n">
        <f aca="false">IF(U$5="A",Inputs_Actuals!U41,T13*(1+Account_Register!$M$11*Assumptions!$F$183*IF(34&lt;6,1.35,1)))</f>
        <v>19524.2164365105</v>
      </c>
      <c r="V13" s="65" t="n">
        <f aca="false">IF(V$5="A",Inputs_Actuals!V41,U13*(1+Account_Register!$M$11*Assumptions!$F$183*IF(35&lt;6,1.35,1)))</f>
        <v>19895.1765488042</v>
      </c>
      <c r="W13" s="65" t="n">
        <f aca="false">IF(W$5="A",Inputs_Actuals!W41,V13*(1+Account_Register!$M$11*Assumptions!$F$183*IF(36&lt;6,1.35,1))*Account_Register!$V$11)</f>
        <v>18651.3301109729</v>
      </c>
      <c r="X13" s="65" t="n">
        <f aca="false">IF(X$5="A",Inputs_Actuals!X41,W13*(1+Account_Register!$M$11*Assumptions!$F$183*IF(37&lt;6,1.35,1)))</f>
        <v>19005.7053830814</v>
      </c>
      <c r="Y13" s="65" t="n">
        <f aca="false">IF(Y$5="A",Inputs_Actuals!Y41,X13*(1+Account_Register!$M$11*Assumptions!$F$183*IF(38&lt;6,1.35,1)))</f>
        <v>19366.81378536</v>
      </c>
      <c r="Z13" s="65" t="n">
        <f aca="false">IF(Z$5="A",Inputs_Actuals!Z41,Y13*(1+Account_Register!$M$11*Assumptions!$F$183*IF(39&lt;6,1.35,1)))</f>
        <v>19734.7832472818</v>
      </c>
      <c r="AA13" s="65" t="n">
        <f aca="false">IF(AA$5="A",Inputs_Actuals!AA41,Z13*(1+Account_Register!$M$11*Assumptions!$F$183*IF(40&lt;6,1.35,1)))</f>
        <v>20109.7441289802</v>
      </c>
      <c r="AB13" s="65" t="n">
        <f aca="false">IF(AB$5="A",Inputs_Actuals!AB41,AA13*(1+Account_Register!$M$11*Assumptions!$F$183*IF(41&lt;6,1.35,1)))</f>
        <v>20491.8292674308</v>
      </c>
    </row>
    <row r="14" customFormat="false" ht="15" hidden="false" customHeight="false" outlineLevel="0" collapsed="false">
      <c r="A14" s="28" t="s">
        <v>896</v>
      </c>
      <c r="B14" s="62" t="s">
        <v>891</v>
      </c>
      <c r="C14" s="64" t="n">
        <f aca="false">SUM(E14:P14)</f>
        <v>187838.67635383</v>
      </c>
      <c r="D14" s="64" t="n">
        <f aca="false">SUM(Q14:AB14)</f>
        <v>209958.200828478</v>
      </c>
      <c r="E14" s="65" t="n">
        <f aca="false">IF(E$5="A",Inputs_Actuals!E42,Account_Register!$J$12*(1+Account_Register!$M$12*Assumptions!$F$183*IF(16&lt;6,1.35,1)))</f>
        <v>16513.61</v>
      </c>
      <c r="F14" s="65" t="n">
        <f aca="false">IF(F$5="A",Inputs_Actuals!F42,E14*(1+Account_Register!$M$12*Assumptions!$F$183*IF(17&lt;6,1.35,1)))</f>
        <v>16351.25</v>
      </c>
      <c r="G14" s="65" t="n">
        <f aca="false">IF(G$5="A",Inputs_Actuals!G42,F14*(1+Account_Register!$M$12*Assumptions!$F$183*IF(18&lt;6,1.35,1)))</f>
        <v>14443.59</v>
      </c>
      <c r="H14" s="65" t="n">
        <f aca="false">IF(H$5="A",Inputs_Actuals!H42,G14*(1+Account_Register!$M$12*Assumptions!$F$183*IF(19&lt;6,1.35,1)))</f>
        <v>14071.5</v>
      </c>
      <c r="I14" s="65" t="n">
        <f aca="false">IF(I$5="A",Inputs_Actuals!I42,H14*(1+Account_Register!$M$12*Assumptions!$F$183*IF(20&lt;6,1.35,1)))</f>
        <v>14501.88</v>
      </c>
      <c r="J14" s="65" t="n">
        <f aca="false">IF(J$5="A",Inputs_Actuals!J42,I14*(1+Account_Register!$M$12*Assumptions!$F$183*IF(21&lt;6,1.35,1)))</f>
        <v>14641.08</v>
      </c>
      <c r="K14" s="65" t="n">
        <f aca="false">IF(K$5="A",Inputs_Actuals!K42,J14*(1+Account_Register!$M$12*Assumptions!$F$183*IF(22&lt;6,1.35,1)))</f>
        <v>16459.22</v>
      </c>
      <c r="L14" s="65" t="n">
        <f aca="false">IF(L$5="A",Inputs_Actuals!L42,K14*(1+Account_Register!$M$12*Assumptions!$F$183*IF(23&lt;6,1.35,1)))</f>
        <v>17035.62</v>
      </c>
      <c r="M14" s="65" t="n">
        <f aca="false">IF(M$5="A",Inputs_Actuals!M42,L14*(1+Account_Register!$M$12*Assumptions!$F$183*IF(24&lt;6,1.35,1))*Account_Register!$V$12)</f>
        <v>15577.370928</v>
      </c>
      <c r="N14" s="65" t="n">
        <f aca="false">IF(N$5="A",Inputs_Actuals!N42,M14*(1+Account_Register!$M$12*Assumptions!$F$183*IF(25&lt;6,1.35,1)))</f>
        <v>15826.608862848</v>
      </c>
      <c r="O14" s="65" t="n">
        <f aca="false">IF(O$5="A",Inputs_Actuals!O42,N14*(1+Account_Register!$M$12*Assumptions!$F$183*IF(26&lt;6,1.35,1)))</f>
        <v>16079.8346046536</v>
      </c>
      <c r="P14" s="65" t="n">
        <f aca="false">IF(P$5="A",Inputs_Actuals!P42,O14*(1+Account_Register!$M$12*Assumptions!$F$183*IF(27&lt;6,1.35,1)))</f>
        <v>16337.111958328</v>
      </c>
      <c r="Q14" s="65" t="n">
        <f aca="false">IF(Q$5="A",Inputs_Actuals!Q42,P14*(1+Account_Register!$M$12*Assumptions!$F$183*IF(28&lt;6,1.35,1)))</f>
        <v>16598.5057496613</v>
      </c>
      <c r="R14" s="65" t="n">
        <f aca="false">IF(R$5="A",Inputs_Actuals!R42,Q14*(1+Account_Register!$M$12*Assumptions!$F$183*IF(29&lt;6,1.35,1)))</f>
        <v>16864.0818416559</v>
      </c>
      <c r="S14" s="65" t="n">
        <f aca="false">IF(S$5="A",Inputs_Actuals!S42,R14*(1+Account_Register!$M$12*Assumptions!$F$183*IF(30&lt;6,1.35,1)))</f>
        <v>17133.9071511224</v>
      </c>
      <c r="T14" s="65" t="n">
        <f aca="false">IF(T$5="A",Inputs_Actuals!T42,S14*(1+Account_Register!$M$12*Assumptions!$F$183*IF(31&lt;6,1.35,1)))</f>
        <v>17408.0496655403</v>
      </c>
      <c r="U14" s="65" t="n">
        <f aca="false">IF(U$5="A",Inputs_Actuals!U42,T14*(1+Account_Register!$M$12*Assumptions!$F$183*IF(32&lt;6,1.35,1)))</f>
        <v>17686.578460189</v>
      </c>
      <c r="V14" s="65" t="n">
        <f aca="false">IF(V$5="A",Inputs_Actuals!V42,U14*(1+Account_Register!$M$12*Assumptions!$F$183*IF(33&lt;6,1.35,1)))</f>
        <v>17969.563715552</v>
      </c>
      <c r="W14" s="65" t="n">
        <f aca="false">IF(W$5="A",Inputs_Actuals!W42,V14*(1+Account_Register!$M$12*Assumptions!$F$183*IF(34&lt;6,1.35,1)))</f>
        <v>18257.0767350008</v>
      </c>
      <c r="X14" s="65" t="n">
        <f aca="false">IF(X$5="A",Inputs_Actuals!X42,W14*(1+Account_Register!$M$12*Assumptions!$F$183*IF(35&lt;6,1.35,1)))</f>
        <v>18549.1899627608</v>
      </c>
      <c r="Y14" s="65" t="n">
        <f aca="false">IF(Y$5="A",Inputs_Actuals!Y42,X14*(1+Account_Register!$M$12*Assumptions!$F$183*IF(36&lt;6,1.35,1))*Account_Register!$V$12)</f>
        <v>16961.3793019485</v>
      </c>
      <c r="Z14" s="65" t="n">
        <f aca="false">IF(Z$5="A",Inputs_Actuals!Z42,Y14*(1+Account_Register!$M$12*Assumptions!$F$183*IF(37&lt;6,1.35,1)))</f>
        <v>17232.7613707797</v>
      </c>
      <c r="AA14" s="65" t="n">
        <f aca="false">IF(AA$5="A",Inputs_Actuals!AA42,Z14*(1+Account_Register!$M$12*Assumptions!$F$183*IF(38&lt;6,1.35,1)))</f>
        <v>17508.4855527121</v>
      </c>
      <c r="AB14" s="65" t="n">
        <f aca="false">IF(AB$5="A",Inputs_Actuals!AB42,AA14*(1+Account_Register!$M$12*Assumptions!$F$183*IF(39&lt;6,1.35,1)))</f>
        <v>17788.6213215555</v>
      </c>
    </row>
    <row r="15" customFormat="false" ht="15" hidden="false" customHeight="false" outlineLevel="0" collapsed="false">
      <c r="A15" s="28" t="s">
        <v>897</v>
      </c>
      <c r="B15" s="62" t="s">
        <v>891</v>
      </c>
      <c r="C15" s="64" t="n">
        <f aca="false">SUM(E15:P15)</f>
        <v>178103.630640251</v>
      </c>
      <c r="D15" s="64" t="n">
        <f aca="false">SUM(Q15:AB15)</f>
        <v>183950.276027687</v>
      </c>
      <c r="E15" s="65" t="n">
        <f aca="false">IF(E$5="A",Inputs_Actuals!E43,Account_Register!$J$13*(1+Account_Register!$M$13*Assumptions!$F$183*IF(14&lt;6,1.35,1)))</f>
        <v>14504.81</v>
      </c>
      <c r="F15" s="65" t="n">
        <f aca="false">IF(F$5="A",Inputs_Actuals!F43,E15*(1+Account_Register!$M$13*Assumptions!$F$183*IF(15&lt;6,1.35,1)))</f>
        <v>15192.8</v>
      </c>
      <c r="G15" s="65" t="n">
        <f aca="false">IF(G$5="A",Inputs_Actuals!G43,F15*(1+Account_Register!$M$13*Assumptions!$F$183*IF(16&lt;6,1.35,1)))</f>
        <v>14910.78</v>
      </c>
      <c r="H15" s="65" t="n">
        <f aca="false">IF(H$5="A",Inputs_Actuals!H43,G15*(1+Account_Register!$M$13*Assumptions!$F$183*IF(17&lt;6,1.35,1)))</f>
        <v>15331.01</v>
      </c>
      <c r="I15" s="65" t="n">
        <f aca="false">IF(I$5="A",Inputs_Actuals!I43,H15*(1+Account_Register!$M$13*Assumptions!$F$183*IF(18&lt;6,1.35,1)))</f>
        <v>16157.51</v>
      </c>
      <c r="J15" s="65" t="n">
        <f aca="false">IF(J$5="A",Inputs_Actuals!J43,I15*(1+Account_Register!$M$13*Assumptions!$F$183*IF(19&lt;6,1.35,1)))</f>
        <v>15547.9</v>
      </c>
      <c r="K15" s="65" t="n">
        <f aca="false">IF(K$5="A",Inputs_Actuals!K43,J15*(1+Account_Register!$M$13*Assumptions!$F$183*IF(20&lt;6,1.35,1)))</f>
        <v>15097.56</v>
      </c>
      <c r="L15" s="65" t="n">
        <f aca="false">IF(L$5="A",Inputs_Actuals!L43,K15*(1+Account_Register!$M$13*Assumptions!$F$183*IF(21&lt;6,1.35,1)))</f>
        <v>14357.32</v>
      </c>
      <c r="M15" s="65" t="n">
        <f aca="false">IF(M$5="A",Inputs_Actuals!M43,L15*(1+Account_Register!$M$13*Assumptions!$F$183*IF(22&lt;6,1.35,1)))</f>
        <v>14615.75176</v>
      </c>
      <c r="N15" s="65" t="n">
        <f aca="false">IF(N$5="A",Inputs_Actuals!N43,M15*(1+Account_Register!$M$13*Assumptions!$F$183*IF(23&lt;6,1.35,1)))</f>
        <v>14878.83529168</v>
      </c>
      <c r="O15" s="65" t="n">
        <f aca="false">IF(O$5="A",Inputs_Actuals!O43,N15*(1+Account_Register!$M$13*Assumptions!$F$183*IF(24&lt;6,1.35,1))*Account_Register!$V$13)</f>
        <v>13631.9888942372</v>
      </c>
      <c r="P15" s="65" t="n">
        <f aca="false">IF(P$5="A",Inputs_Actuals!P43,O15*(1+Account_Register!$M$13*Assumptions!$F$183*IF(25&lt;6,1.35,1)))</f>
        <v>13877.3646943335</v>
      </c>
      <c r="Q15" s="65" t="n">
        <f aca="false">IF(Q$5="A",Inputs_Actuals!Q43,P15*(1+Account_Register!$M$13*Assumptions!$F$183*IF(26&lt;6,1.35,1)))</f>
        <v>14127.1572588315</v>
      </c>
      <c r="R15" s="65" t="n">
        <f aca="false">IF(R$5="A",Inputs_Actuals!R43,Q15*(1+Account_Register!$M$13*Assumptions!$F$183*IF(27&lt;6,1.35,1)))</f>
        <v>14381.4460894905</v>
      </c>
      <c r="S15" s="65" t="n">
        <f aca="false">IF(S$5="A",Inputs_Actuals!S43,R15*(1+Account_Register!$M$13*Assumptions!$F$183*IF(28&lt;6,1.35,1)))</f>
        <v>14640.3121191013</v>
      </c>
      <c r="T15" s="65" t="n">
        <f aca="false">IF(T$5="A",Inputs_Actuals!T43,S15*(1+Account_Register!$M$13*Assumptions!$F$183*IF(29&lt;6,1.35,1)))</f>
        <v>14903.8377372451</v>
      </c>
      <c r="U15" s="65" t="n">
        <f aca="false">IF(U$5="A",Inputs_Actuals!U43,T15*(1+Account_Register!$M$13*Assumptions!$F$183*IF(30&lt;6,1.35,1)))</f>
        <v>15172.1068165155</v>
      </c>
      <c r="V15" s="65" t="n">
        <f aca="false">IF(V$5="A",Inputs_Actuals!V43,U15*(1+Account_Register!$M$13*Assumptions!$F$183*IF(31&lt;6,1.35,1)))</f>
        <v>15445.2047392128</v>
      </c>
      <c r="W15" s="65" t="n">
        <f aca="false">IF(W$5="A",Inputs_Actuals!W43,V15*(1+Account_Register!$M$13*Assumptions!$F$183*IF(32&lt;6,1.35,1)))</f>
        <v>15723.2184245186</v>
      </c>
      <c r="X15" s="65" t="n">
        <f aca="false">IF(X$5="A",Inputs_Actuals!X43,W15*(1+Account_Register!$M$13*Assumptions!$F$183*IF(33&lt;6,1.35,1)))</f>
        <v>16006.23635616</v>
      </c>
      <c r="Y15" s="65" t="n">
        <f aca="false">IF(Y$5="A",Inputs_Actuals!Y43,X15*(1+Account_Register!$M$13*Assumptions!$F$183*IF(34&lt;6,1.35,1)))</f>
        <v>16294.3486105708</v>
      </c>
      <c r="Z15" s="65" t="n">
        <f aca="false">IF(Z$5="A",Inputs_Actuals!Z43,Y15*(1+Account_Register!$M$13*Assumptions!$F$183*IF(35&lt;6,1.35,1)))</f>
        <v>16587.6468855611</v>
      </c>
      <c r="AA15" s="65" t="n">
        <f aca="false">IF(AA$5="A",Inputs_Actuals!AA43,Z15*(1+Account_Register!$M$13*Assumptions!$F$183*IF(36&lt;6,1.35,1))*Account_Register!$V$13)</f>
        <v>15197.6020765511</v>
      </c>
      <c r="AB15" s="65" t="n">
        <f aca="false">IF(AB$5="A",Inputs_Actuals!AB43,AA15*(1+Account_Register!$M$13*Assumptions!$F$183*IF(37&lt;6,1.35,1)))</f>
        <v>15471.158913929</v>
      </c>
    </row>
    <row r="16" customFormat="false" ht="15" hidden="false" customHeight="false" outlineLevel="0" collapsed="false">
      <c r="A16" s="28" t="s">
        <v>898</v>
      </c>
      <c r="B16" s="62" t="s">
        <v>891</v>
      </c>
      <c r="C16" s="64" t="n">
        <f aca="false">SUM(E16:P16)</f>
        <v>30369.41</v>
      </c>
      <c r="D16" s="64" t="n">
        <f aca="false">SUM(Q16:AB16)</f>
        <v>0</v>
      </c>
      <c r="E16" s="65" t="n">
        <f aca="false">IF(E$5="A",Inputs_Actuals!E44,Account_Register!$J$14*(1+Account_Register!$M$14*Assumptions!$F$183*IF(22&lt;6,1.35,1)))</f>
        <v>14735.88</v>
      </c>
      <c r="F16" s="65" t="n">
        <f aca="false">IF(F$5="A",Inputs_Actuals!F44,E16*(1+Account_Register!$M$14*Assumptions!$F$183*IF(23&lt;6,1.35,1)))</f>
        <v>15633.53</v>
      </c>
      <c r="G16" s="65" t="n">
        <f aca="false">IF(G$5="A",Inputs_Actuals!G44,F16*(1+Account_Register!$M$14*Assumptions!$F$183*IF(24&lt;6,1.35,1))*Account_Register!$V$14)</f>
        <v>0</v>
      </c>
      <c r="H16" s="65" t="n">
        <f aca="false">IF(H$5="A",Inputs_Actuals!H44,G16*(1+Account_Register!$M$14*Assumptions!$F$183*IF(25&lt;6,1.35,1)))</f>
        <v>0</v>
      </c>
      <c r="I16" s="65" t="n">
        <f aca="false">IF(I$5="A",Inputs_Actuals!I44,H16*(1+Account_Register!$M$14*Assumptions!$F$183*IF(26&lt;6,1.35,1)))</f>
        <v>0</v>
      </c>
      <c r="J16" s="65" t="n">
        <f aca="false">IF(J$5="A",Inputs_Actuals!J44,I16*(1+Account_Register!$M$14*Assumptions!$F$183*IF(27&lt;6,1.35,1)))</f>
        <v>0</v>
      </c>
      <c r="K16" s="65" t="n">
        <f aca="false">IF(K$5="A",Inputs_Actuals!K44,J16*(1+Account_Register!$M$14*Assumptions!$F$183*IF(28&lt;6,1.35,1)))</f>
        <v>0</v>
      </c>
      <c r="L16" s="65" t="n">
        <f aca="false">IF(L$5="A",Inputs_Actuals!L44,K16*(1+Account_Register!$M$14*Assumptions!$F$183*IF(29&lt;6,1.35,1)))</f>
        <v>0</v>
      </c>
      <c r="M16" s="65" t="n">
        <f aca="false">IF(M$5="A",Inputs_Actuals!M44,L16*(1+Account_Register!$M$14*Assumptions!$F$183*IF(30&lt;6,1.35,1)))</f>
        <v>0</v>
      </c>
      <c r="N16" s="65" t="n">
        <f aca="false">IF(N$5="A",Inputs_Actuals!N44,M16*(1+Account_Register!$M$14*Assumptions!$F$183*IF(31&lt;6,1.35,1)))</f>
        <v>0</v>
      </c>
      <c r="O16" s="65" t="n">
        <f aca="false">IF(O$5="A",Inputs_Actuals!O44,N16*(1+Account_Register!$M$14*Assumptions!$F$183*IF(32&lt;6,1.35,1)))</f>
        <v>0</v>
      </c>
      <c r="P16" s="65" t="n">
        <f aca="false">IF(P$5="A",Inputs_Actuals!P44,O16*(1+Account_Register!$M$14*Assumptions!$F$183*IF(33&lt;6,1.35,1)))</f>
        <v>0</v>
      </c>
      <c r="Q16" s="65" t="n">
        <f aca="false">IF(Q$5="A",Inputs_Actuals!Q44,P16*(1+Account_Register!$M$14*Assumptions!$F$183*IF(34&lt;6,1.35,1)))</f>
        <v>0</v>
      </c>
      <c r="R16" s="65" t="n">
        <f aca="false">IF(R$5="A",Inputs_Actuals!R44,Q16*(1+Account_Register!$M$14*Assumptions!$F$183*IF(35&lt;6,1.35,1)))</f>
        <v>0</v>
      </c>
      <c r="S16" s="65" t="n">
        <f aca="false">IF(S$5="A",Inputs_Actuals!S44,R16*(1+Account_Register!$M$14*Assumptions!$F$183*IF(36&lt;6,1.35,1))*Account_Register!$V$14)</f>
        <v>0</v>
      </c>
      <c r="T16" s="65" t="n">
        <f aca="false">IF(T$5="A",Inputs_Actuals!T44,S16*(1+Account_Register!$M$14*Assumptions!$F$183*IF(37&lt;6,1.35,1)))</f>
        <v>0</v>
      </c>
      <c r="U16" s="65" t="n">
        <f aca="false">IF(U$5="A",Inputs_Actuals!U44,T16*(1+Account_Register!$M$14*Assumptions!$F$183*IF(38&lt;6,1.35,1)))</f>
        <v>0</v>
      </c>
      <c r="V16" s="65" t="n">
        <f aca="false">IF(V$5="A",Inputs_Actuals!V44,U16*(1+Account_Register!$M$14*Assumptions!$F$183*IF(39&lt;6,1.35,1)))</f>
        <v>0</v>
      </c>
      <c r="W16" s="65" t="n">
        <f aca="false">IF(W$5="A",Inputs_Actuals!W44,V16*(1+Account_Register!$M$14*Assumptions!$F$183*IF(40&lt;6,1.35,1)))</f>
        <v>0</v>
      </c>
      <c r="X16" s="65" t="n">
        <f aca="false">IF(X$5="A",Inputs_Actuals!X44,W16*(1+Account_Register!$M$14*Assumptions!$F$183*IF(41&lt;6,1.35,1)))</f>
        <v>0</v>
      </c>
      <c r="Y16" s="65" t="n">
        <f aca="false">IF(Y$5="A",Inputs_Actuals!Y44,X16*(1+Account_Register!$M$14*Assumptions!$F$183*IF(42&lt;6,1.35,1)))</f>
        <v>0</v>
      </c>
      <c r="Z16" s="65" t="n">
        <f aca="false">IF(Z$5="A",Inputs_Actuals!Z44,Y16*(1+Account_Register!$M$14*Assumptions!$F$183*IF(43&lt;6,1.35,1)))</f>
        <v>0</v>
      </c>
      <c r="AA16" s="65" t="n">
        <f aca="false">IF(AA$5="A",Inputs_Actuals!AA44,Z16*(1+Account_Register!$M$14*Assumptions!$F$183*IF(44&lt;6,1.35,1)))</f>
        <v>0</v>
      </c>
      <c r="AB16" s="65" t="n">
        <f aca="false">IF(AB$5="A",Inputs_Actuals!AB44,AA16*(1+Account_Register!$M$14*Assumptions!$F$183*IF(45&lt;6,1.35,1)))</f>
        <v>0</v>
      </c>
    </row>
    <row r="17" customFormat="false" ht="15" hidden="false" customHeight="false" outlineLevel="0" collapsed="false">
      <c r="A17" s="28" t="s">
        <v>899</v>
      </c>
      <c r="B17" s="62" t="s">
        <v>891</v>
      </c>
      <c r="C17" s="64" t="n">
        <f aca="false">SUM(E17:P17)</f>
        <v>169198.43999007</v>
      </c>
      <c r="D17" s="64" t="n">
        <f aca="false">SUM(Q17:AB17)</f>
        <v>181034.947800291</v>
      </c>
      <c r="E17" s="65" t="n">
        <f aca="false">IF(E$5="A",Inputs_Actuals!E45,Account_Register!$J$15*(1+Account_Register!$M$15*Assumptions!$F$183*IF(11&lt;6,1.35,1)))</f>
        <v>14445.85</v>
      </c>
      <c r="F17" s="65" t="n">
        <f aca="false">IF(F$5="A",Inputs_Actuals!F45,E17*(1+Account_Register!$M$15*Assumptions!$F$183*IF(12&lt;6,1.35,1))*Account_Register!$V$15)</f>
        <v>14800.59</v>
      </c>
      <c r="G17" s="65" t="n">
        <f aca="false">IF(G$5="A",Inputs_Actuals!G45,F17*(1+Account_Register!$M$15*Assumptions!$F$183*IF(13&lt;6,1.35,1)))</f>
        <v>13540.41</v>
      </c>
      <c r="H17" s="65" t="n">
        <f aca="false">IF(H$5="A",Inputs_Actuals!H45,G17*(1+Account_Register!$M$15*Assumptions!$F$183*IF(14&lt;6,1.35,1)))</f>
        <v>14387.44</v>
      </c>
      <c r="I17" s="65" t="n">
        <f aca="false">IF(I$5="A",Inputs_Actuals!I45,H17*(1+Account_Register!$M$15*Assumptions!$F$183*IF(15&lt;6,1.35,1)))</f>
        <v>14099.83</v>
      </c>
      <c r="J17" s="65" t="n">
        <f aca="false">IF(J$5="A",Inputs_Actuals!J45,I17*(1+Account_Register!$M$15*Assumptions!$F$183*IF(16&lt;6,1.35,1)))</f>
        <v>14001.45</v>
      </c>
      <c r="K17" s="65" t="n">
        <f aca="false">IF(K$5="A",Inputs_Actuals!K45,J17*(1+Account_Register!$M$15*Assumptions!$F$183*IF(17&lt;6,1.35,1)))</f>
        <v>15214.24</v>
      </c>
      <c r="L17" s="65" t="n">
        <f aca="false">IF(L$5="A",Inputs_Actuals!L45,K17*(1+Account_Register!$M$15*Assumptions!$F$183*IF(18&lt;6,1.35,1)))</f>
        <v>13202.94</v>
      </c>
      <c r="M17" s="65" t="n">
        <f aca="false">IF(M$5="A",Inputs_Actuals!M45,L17*(1+Account_Register!$M$15*Assumptions!$F$183*IF(19&lt;6,1.35,1)))</f>
        <v>13466.9988</v>
      </c>
      <c r="N17" s="65" t="n">
        <f aca="false">IF(N$5="A",Inputs_Actuals!N45,M17*(1+Account_Register!$M$15*Assumptions!$F$183*IF(20&lt;6,1.35,1)))</f>
        <v>13736.338776</v>
      </c>
      <c r="O17" s="65" t="n">
        <f aca="false">IF(O$5="A",Inputs_Actuals!O45,N17*(1+Account_Register!$M$15*Assumptions!$F$183*IF(21&lt;6,1.35,1)))</f>
        <v>14011.06555152</v>
      </c>
      <c r="P17" s="65" t="n">
        <f aca="false">IF(P$5="A",Inputs_Actuals!P45,O17*(1+Account_Register!$M$15*Assumptions!$F$183*IF(22&lt;6,1.35,1)))</f>
        <v>14291.2868625504</v>
      </c>
      <c r="Q17" s="65" t="n">
        <f aca="false">IF(Q$5="A",Inputs_Actuals!Q45,P17*(1+Account_Register!$M$15*Assumptions!$F$183*IF(23&lt;6,1.35,1)))</f>
        <v>14577.1125998014</v>
      </c>
      <c r="R17" s="65" t="n">
        <f aca="false">IF(R$5="A",Inputs_Actuals!R45,Q17*(1+Account_Register!$M$15*Assumptions!$F$183*IF(24&lt;6,1.35,1))*Account_Register!$V$15)</f>
        <v>13679.1624636536</v>
      </c>
      <c r="S17" s="65" t="n">
        <f aca="false">IF(S$5="A",Inputs_Actuals!S45,R17*(1+Account_Register!$M$15*Assumptions!$F$183*IF(25&lt;6,1.35,1)))</f>
        <v>13952.7457129267</v>
      </c>
      <c r="T17" s="65" t="n">
        <f aca="false">IF(T$5="A",Inputs_Actuals!T45,S17*(1+Account_Register!$M$15*Assumptions!$F$183*IF(26&lt;6,1.35,1)))</f>
        <v>14231.8006271853</v>
      </c>
      <c r="U17" s="65" t="n">
        <f aca="false">IF(U$5="A",Inputs_Actuals!U45,T17*(1+Account_Register!$M$15*Assumptions!$F$183*IF(27&lt;6,1.35,1)))</f>
        <v>14516.436639729</v>
      </c>
      <c r="V17" s="65" t="n">
        <f aca="false">IF(V$5="A",Inputs_Actuals!V45,U17*(1+Account_Register!$M$15*Assumptions!$F$183*IF(28&lt;6,1.35,1)))</f>
        <v>14806.7653725235</v>
      </c>
      <c r="W17" s="65" t="n">
        <f aca="false">IF(W$5="A",Inputs_Actuals!W45,V17*(1+Account_Register!$M$15*Assumptions!$F$183*IF(29&lt;6,1.35,1)))</f>
        <v>15102.900679974</v>
      </c>
      <c r="X17" s="65" t="n">
        <f aca="false">IF(X$5="A",Inputs_Actuals!X45,W17*(1+Account_Register!$M$15*Assumptions!$F$183*IF(30&lt;6,1.35,1)))</f>
        <v>15404.9586935735</v>
      </c>
      <c r="Y17" s="65" t="n">
        <f aca="false">IF(Y$5="A",Inputs_Actuals!Y45,X17*(1+Account_Register!$M$15*Assumptions!$F$183*IF(31&lt;6,1.35,1)))</f>
        <v>15713.057867445</v>
      </c>
      <c r="Z17" s="65" t="n">
        <f aca="false">IF(Z$5="A",Inputs_Actuals!Z45,Y17*(1+Account_Register!$M$15*Assumptions!$F$183*IF(32&lt;6,1.35,1)))</f>
        <v>16027.3190247939</v>
      </c>
      <c r="AA17" s="65" t="n">
        <f aca="false">IF(AA$5="A",Inputs_Actuals!AA45,Z17*(1+Account_Register!$M$15*Assumptions!$F$183*IF(33&lt;6,1.35,1)))</f>
        <v>16347.8654052897</v>
      </c>
      <c r="AB17" s="65" t="n">
        <f aca="false">IF(AB$5="A",Inputs_Actuals!AB45,AA17*(1+Account_Register!$M$15*Assumptions!$F$183*IF(34&lt;6,1.35,1)))</f>
        <v>16674.8227133955</v>
      </c>
    </row>
    <row r="18" customFormat="false" ht="15" hidden="false" customHeight="false" outlineLevel="0" collapsed="false">
      <c r="A18" s="28" t="s">
        <v>900</v>
      </c>
      <c r="B18" s="62" t="s">
        <v>891</v>
      </c>
      <c r="C18" s="64" t="n">
        <f aca="false">SUM(E18:P18)</f>
        <v>209907.133495836</v>
      </c>
      <c r="D18" s="64" t="n">
        <f aca="false">SUM(Q18:AB18)</f>
        <v>250054.198671514</v>
      </c>
      <c r="E18" s="65" t="n">
        <f aca="false">IF(E$5="A",Inputs_Actuals!E46,Account_Register!$J$16*(1+Account_Register!$M$16*Assumptions!$F$183*IF(9&lt;6,1.35,1)))</f>
        <v>14886.68</v>
      </c>
      <c r="F18" s="65" t="n">
        <f aca="false">IF(F$5="A",Inputs_Actuals!F46,E18*(1+Account_Register!$M$16*Assumptions!$F$183*IF(10&lt;6,1.35,1)))</f>
        <v>15829.89</v>
      </c>
      <c r="G18" s="65" t="n">
        <f aca="false">IF(G$5="A",Inputs_Actuals!G46,F18*(1+Account_Register!$M$16*Assumptions!$F$183*IF(11&lt;6,1.35,1)))</f>
        <v>17869.82</v>
      </c>
      <c r="H18" s="65" t="n">
        <f aca="false">IF(H$5="A",Inputs_Actuals!H46,G18*(1+Account_Register!$M$16*Assumptions!$F$183*IF(12&lt;6,1.35,1))*Account_Register!$V$16)</f>
        <v>17854.46</v>
      </c>
      <c r="I18" s="65" t="n">
        <f aca="false">IF(I$5="A",Inputs_Actuals!I46,H18*(1+Account_Register!$M$16*Assumptions!$F$183*IF(13&lt;6,1.35,1)))</f>
        <v>16031.1</v>
      </c>
      <c r="J18" s="65" t="n">
        <f aca="false">IF(J$5="A",Inputs_Actuals!J46,I18*(1+Account_Register!$M$16*Assumptions!$F$183*IF(14&lt;6,1.35,1)))</f>
        <v>15942.51</v>
      </c>
      <c r="K18" s="65" t="n">
        <f aca="false">IF(K$5="A",Inputs_Actuals!K46,J18*(1+Account_Register!$M$16*Assumptions!$F$183*IF(15&lt;6,1.35,1)))</f>
        <v>17063.09</v>
      </c>
      <c r="L18" s="65" t="n">
        <f aca="false">IF(L$5="A",Inputs_Actuals!L46,K18*(1+Account_Register!$M$16*Assumptions!$F$183*IF(16&lt;6,1.35,1)))</f>
        <v>18109.19</v>
      </c>
      <c r="M18" s="65" t="n">
        <f aca="false">IF(M$5="A",Inputs_Actuals!M46,L18*(1+Account_Register!$M$16*Assumptions!$F$183*IF(17&lt;6,1.35,1)))</f>
        <v>18489.48299</v>
      </c>
      <c r="N18" s="65" t="n">
        <f aca="false">IF(N$5="A",Inputs_Actuals!N46,M18*(1+Account_Register!$M$16*Assumptions!$F$183*IF(18&lt;6,1.35,1)))</f>
        <v>18877.76213279</v>
      </c>
      <c r="O18" s="65" t="n">
        <f aca="false">IF(O$5="A",Inputs_Actuals!O46,N18*(1+Account_Register!$M$16*Assumptions!$F$183*IF(19&lt;6,1.35,1)))</f>
        <v>19274.1951375786</v>
      </c>
      <c r="P18" s="65" t="n">
        <f aca="false">IF(P$5="A",Inputs_Actuals!P46,O18*(1+Account_Register!$M$16*Assumptions!$F$183*IF(20&lt;6,1.35,1)))</f>
        <v>19678.9532354677</v>
      </c>
      <c r="Q18" s="65" t="n">
        <f aca="false">IF(Q$5="A",Inputs_Actuals!Q46,P18*(1+Account_Register!$M$16*Assumptions!$F$183*IF(21&lt;6,1.35,1)))</f>
        <v>20092.2112534126</v>
      </c>
      <c r="R18" s="65" t="n">
        <f aca="false">IF(R$5="A",Inputs_Actuals!R46,Q18*(1+Account_Register!$M$16*Assumptions!$F$183*IF(22&lt;6,1.35,1)))</f>
        <v>20514.1476897342</v>
      </c>
      <c r="S18" s="65" t="n">
        <f aca="false">IF(S$5="A",Inputs_Actuals!S46,R18*(1+Account_Register!$M$16*Assumptions!$F$183*IF(23&lt;6,1.35,1)))</f>
        <v>20944.9447912186</v>
      </c>
      <c r="T18" s="65" t="n">
        <f aca="false">IF(T$5="A",Inputs_Actuals!T46,S18*(1+Account_Register!$M$16*Assumptions!$F$183*IF(24&lt;6,1.35,1))*Account_Register!$V$16)</f>
        <v>19246.3097686508</v>
      </c>
      <c r="U18" s="65" t="n">
        <f aca="false">IF(U$5="A",Inputs_Actuals!U46,T18*(1+Account_Register!$M$16*Assumptions!$F$183*IF(25&lt;6,1.35,1)))</f>
        <v>19650.4822737925</v>
      </c>
      <c r="V18" s="65" t="n">
        <f aca="false">IF(V$5="A",Inputs_Actuals!V46,U18*(1+Account_Register!$M$16*Assumptions!$F$183*IF(26&lt;6,1.35,1)))</f>
        <v>20063.1424015421</v>
      </c>
      <c r="W18" s="65" t="n">
        <f aca="false">IF(W$5="A",Inputs_Actuals!W46,V18*(1+Account_Register!$M$16*Assumptions!$F$183*IF(27&lt;6,1.35,1)))</f>
        <v>20484.4683919745</v>
      </c>
      <c r="X18" s="65" t="n">
        <f aca="false">IF(X$5="A",Inputs_Actuals!X46,W18*(1+Account_Register!$M$16*Assumptions!$F$183*IF(28&lt;6,1.35,1)))</f>
        <v>20914.642228206</v>
      </c>
      <c r="Y18" s="65" t="n">
        <f aca="false">IF(Y$5="A",Inputs_Actuals!Y46,X18*(1+Account_Register!$M$16*Assumptions!$F$183*IF(29&lt;6,1.35,1)))</f>
        <v>21353.8497149983</v>
      </c>
      <c r="Z18" s="65" t="n">
        <f aca="false">IF(Z$5="A",Inputs_Actuals!Z46,Y18*(1+Account_Register!$M$16*Assumptions!$F$183*IF(30&lt;6,1.35,1)))</f>
        <v>21802.2805590132</v>
      </c>
      <c r="AA18" s="65" t="n">
        <f aca="false">IF(AA$5="A",Inputs_Actuals!AA46,Z18*(1+Account_Register!$M$16*Assumptions!$F$183*IF(31&lt;6,1.35,1)))</f>
        <v>22260.1284507525</v>
      </c>
      <c r="AB18" s="65" t="n">
        <f aca="false">IF(AB$5="A",Inputs_Actuals!AB46,AA18*(1+Account_Register!$M$16*Assumptions!$F$183*IF(32&lt;6,1.35,1)))</f>
        <v>22727.5911482183</v>
      </c>
    </row>
    <row r="19" customFormat="false" ht="15" hidden="false" customHeight="false" outlineLevel="0" collapsed="false">
      <c r="A19" s="28" t="s">
        <v>901</v>
      </c>
      <c r="B19" s="62" t="s">
        <v>891</v>
      </c>
      <c r="C19" s="64" t="n">
        <f aca="false">SUM(E19:P19)</f>
        <v>125185.894708677</v>
      </c>
      <c r="D19" s="64" t="n">
        <f aca="false">SUM(Q19:AB19)</f>
        <v>166776.090771317</v>
      </c>
      <c r="E19" s="65" t="n">
        <f aca="false">IF(E$5="A",Inputs_Actuals!E47,Account_Register!$J$17*(1+Account_Register!$M$17*Assumptions!$F$183*IF(7&lt;6,1.35,1)))</f>
        <v>8165.25</v>
      </c>
      <c r="F19" s="65" t="n">
        <f aca="false">IF(F$5="A",Inputs_Actuals!F47,E19*(1+Account_Register!$M$17*Assumptions!$F$183*IF(8&lt;6,1.35,1)))</f>
        <v>8260.2</v>
      </c>
      <c r="G19" s="65" t="n">
        <f aca="false">IF(G$5="A",Inputs_Actuals!G47,F19*(1+Account_Register!$M$17*Assumptions!$F$183*IF(9&lt;6,1.35,1)))</f>
        <v>8111.51</v>
      </c>
      <c r="H19" s="65" t="n">
        <f aca="false">IF(H$5="A",Inputs_Actuals!H47,G19*(1+Account_Register!$M$17*Assumptions!$F$183*IF(10&lt;6,1.35,1)))</f>
        <v>8549.4</v>
      </c>
      <c r="I19" s="65" t="n">
        <f aca="false">IF(I$5="A",Inputs_Actuals!I47,H19*(1+Account_Register!$M$17*Assumptions!$F$183*IF(11&lt;6,1.35,1)))</f>
        <v>9199.87</v>
      </c>
      <c r="J19" s="65" t="n">
        <f aca="false">IF(J$5="A",Inputs_Actuals!J47,I19*(1+Account_Register!$M$17*Assumptions!$F$183*IF(12&lt;6,1.35,1))*Account_Register!$V$17)</f>
        <v>9997.67</v>
      </c>
      <c r="K19" s="65" t="n">
        <f aca="false">IF(K$5="A",Inputs_Actuals!K47,J19*(1+Account_Register!$M$17*Assumptions!$F$183*IF(13&lt;6,1.35,1)))</f>
        <v>10470.53</v>
      </c>
      <c r="L19" s="65" t="n">
        <f aca="false">IF(L$5="A",Inputs_Actuals!L47,K19*(1+Account_Register!$M$17*Assumptions!$F$183*IF(14&lt;6,1.35,1)))</f>
        <v>11996.73</v>
      </c>
      <c r="M19" s="65" t="n">
        <f aca="false">IF(M$5="A",Inputs_Actuals!M47,L19*(1+Account_Register!$M$17*Assumptions!$F$183*IF(15&lt;6,1.35,1)))</f>
        <v>12236.6646</v>
      </c>
      <c r="N19" s="65" t="n">
        <f aca="false">IF(N$5="A",Inputs_Actuals!N47,M19*(1+Account_Register!$M$17*Assumptions!$F$183*IF(16&lt;6,1.35,1)))</f>
        <v>12481.397892</v>
      </c>
      <c r="O19" s="65" t="n">
        <f aca="false">IF(O$5="A",Inputs_Actuals!O47,N19*(1+Account_Register!$M$17*Assumptions!$F$183*IF(17&lt;6,1.35,1)))</f>
        <v>12731.02584984</v>
      </c>
      <c r="P19" s="65" t="n">
        <f aca="false">IF(P$5="A",Inputs_Actuals!P47,O19*(1+Account_Register!$M$17*Assumptions!$F$183*IF(18&lt;6,1.35,1)))</f>
        <v>12985.6463668368</v>
      </c>
      <c r="Q19" s="65" t="n">
        <f aca="false">IF(Q$5="A",Inputs_Actuals!Q47,P19*(1+Account_Register!$M$17*Assumptions!$F$183*IF(19&lt;6,1.35,1)))</f>
        <v>13245.3592941735</v>
      </c>
      <c r="R19" s="65" t="n">
        <f aca="false">IF(R$5="A",Inputs_Actuals!R47,Q19*(1+Account_Register!$M$17*Assumptions!$F$183*IF(20&lt;6,1.35,1)))</f>
        <v>13510.266480057</v>
      </c>
      <c r="S19" s="65" t="n">
        <f aca="false">IF(S$5="A",Inputs_Actuals!S47,R19*(1+Account_Register!$M$17*Assumptions!$F$183*IF(21&lt;6,1.35,1)))</f>
        <v>13780.4718096581</v>
      </c>
      <c r="T19" s="65" t="n">
        <f aca="false">IF(T$5="A",Inputs_Actuals!T47,S19*(1+Account_Register!$M$17*Assumptions!$F$183*IF(22&lt;6,1.35,1)))</f>
        <v>14056.0812458513</v>
      </c>
      <c r="U19" s="65" t="n">
        <f aca="false">IF(U$5="A",Inputs_Actuals!U47,T19*(1+Account_Register!$M$17*Assumptions!$F$183*IF(23&lt;6,1.35,1)))</f>
        <v>14337.2028707683</v>
      </c>
      <c r="V19" s="65" t="n">
        <f aca="false">IF(V$5="A",Inputs_Actuals!V47,U19*(1+Account_Register!$M$17*Assumptions!$F$183*IF(24&lt;6,1.35,1))*Account_Register!$V$17)</f>
        <v>13161.5522353653</v>
      </c>
      <c r="W19" s="65" t="n">
        <f aca="false">IF(W$5="A",Inputs_Actuals!W47,V19*(1+Account_Register!$M$17*Assumptions!$F$183*IF(25&lt;6,1.35,1)))</f>
        <v>13424.7832800726</v>
      </c>
      <c r="X19" s="65" t="n">
        <f aca="false">IF(X$5="A",Inputs_Actuals!X47,W19*(1+Account_Register!$M$17*Assumptions!$F$183*IF(26&lt;6,1.35,1)))</f>
        <v>13693.2789456741</v>
      </c>
      <c r="Y19" s="65" t="n">
        <f aca="false">IF(Y$5="A",Inputs_Actuals!Y47,X19*(1+Account_Register!$M$17*Assumptions!$F$183*IF(27&lt;6,1.35,1)))</f>
        <v>13967.1445245876</v>
      </c>
      <c r="Z19" s="65" t="n">
        <f aca="false">IF(Z$5="A",Inputs_Actuals!Z47,Y19*(1+Account_Register!$M$17*Assumptions!$F$183*IF(28&lt;6,1.35,1)))</f>
        <v>14246.4874150793</v>
      </c>
      <c r="AA19" s="65" t="n">
        <f aca="false">IF(AA$5="A",Inputs_Actuals!AA47,Z19*(1+Account_Register!$M$17*Assumptions!$F$183*IF(29&lt;6,1.35,1)))</f>
        <v>14531.4171633809</v>
      </c>
      <c r="AB19" s="65" t="n">
        <f aca="false">IF(AB$5="A",Inputs_Actuals!AB47,AA19*(1+Account_Register!$M$17*Assumptions!$F$183*IF(30&lt;6,1.35,1)))</f>
        <v>14822.0455066485</v>
      </c>
    </row>
    <row r="20" customFormat="false" ht="15" hidden="false" customHeight="false" outlineLevel="0" collapsed="false">
      <c r="A20" s="28" t="s">
        <v>902</v>
      </c>
      <c r="B20" s="62" t="s">
        <v>891</v>
      </c>
      <c r="C20" s="64" t="n">
        <f aca="false">SUM(E20:P20)</f>
        <v>136677.476964012</v>
      </c>
      <c r="D20" s="64" t="n">
        <f aca="false">SUM(Q20:AB20)</f>
        <v>162049.785605428</v>
      </c>
      <c r="E20" s="65" t="n">
        <f aca="false">IF(E$5="A",Inputs_Actuals!E48,Account_Register!$J$18*(1+Account_Register!$M$18*Assumptions!$F$183*IF(5&lt;6,1.35,1)))</f>
        <v>8967.86</v>
      </c>
      <c r="F20" s="65" t="n">
        <f aca="false">IF(F$5="A",Inputs_Actuals!F48,E20*(1+Account_Register!$M$18*Assumptions!$F$183*IF(6&lt;6,1.35,1)))</f>
        <v>10109.78</v>
      </c>
      <c r="G20" s="65" t="n">
        <f aca="false">IF(G$5="A",Inputs_Actuals!G48,F20*(1+Account_Register!$M$18*Assumptions!$F$183*IF(7&lt;6,1.35,1)))</f>
        <v>11122.33</v>
      </c>
      <c r="H20" s="65" t="n">
        <f aca="false">IF(H$5="A",Inputs_Actuals!H48,G20*(1+Account_Register!$M$18*Assumptions!$F$183*IF(8&lt;6,1.35,1)))</f>
        <v>11577.51</v>
      </c>
      <c r="I20" s="65" t="n">
        <f aca="false">IF(I$5="A",Inputs_Actuals!I48,H20*(1+Account_Register!$M$18*Assumptions!$F$183*IF(9&lt;6,1.35,1)))</f>
        <v>10637.55</v>
      </c>
      <c r="J20" s="65" t="n">
        <f aca="false">IF(J$5="A",Inputs_Actuals!J48,I20*(1+Account_Register!$M$18*Assumptions!$F$183*IF(10&lt;6,1.35,1)))</f>
        <v>12321.64</v>
      </c>
      <c r="K20" s="65" t="n">
        <f aca="false">IF(K$5="A",Inputs_Actuals!K48,J20*(1+Account_Register!$M$18*Assumptions!$F$183*IF(11&lt;6,1.35,1)))</f>
        <v>11833.15</v>
      </c>
      <c r="L20" s="65" t="n">
        <f aca="false">IF(L$5="A",Inputs_Actuals!L48,K20*(1+Account_Register!$M$18*Assumptions!$F$183*IF(12&lt;6,1.35,1))*Account_Register!$V$18)</f>
        <v>11573.31</v>
      </c>
      <c r="M20" s="65" t="n">
        <f aca="false">IF(M$5="A",Inputs_Actuals!M48,L20*(1+Account_Register!$M$18*Assumptions!$F$183*IF(13&lt;6,1.35,1)))</f>
        <v>11793.20289</v>
      </c>
      <c r="N20" s="65" t="n">
        <f aca="false">IF(N$5="A",Inputs_Actuals!N48,M20*(1+Account_Register!$M$18*Assumptions!$F$183*IF(14&lt;6,1.35,1)))</f>
        <v>12017.27374491</v>
      </c>
      <c r="O20" s="65" t="n">
        <f aca="false">IF(O$5="A",Inputs_Actuals!O48,N20*(1+Account_Register!$M$18*Assumptions!$F$183*IF(15&lt;6,1.35,1)))</f>
        <v>12245.6019460633</v>
      </c>
      <c r="P20" s="65" t="n">
        <f aca="false">IF(P$5="A",Inputs_Actuals!P48,O20*(1+Account_Register!$M$18*Assumptions!$F$183*IF(16&lt;6,1.35,1)))</f>
        <v>12478.2683830385</v>
      </c>
      <c r="Q20" s="65" t="n">
        <f aca="false">IF(Q$5="A",Inputs_Actuals!Q48,P20*(1+Account_Register!$M$18*Assumptions!$F$183*IF(17&lt;6,1.35,1)))</f>
        <v>12715.3554823162</v>
      </c>
      <c r="R20" s="65" t="n">
        <f aca="false">IF(R$5="A",Inputs_Actuals!R48,Q20*(1+Account_Register!$M$18*Assumptions!$F$183*IF(18&lt;6,1.35,1)))</f>
        <v>12956.9472364802</v>
      </c>
      <c r="S20" s="65" t="n">
        <f aca="false">IF(S$5="A",Inputs_Actuals!S48,R20*(1+Account_Register!$M$18*Assumptions!$F$183*IF(19&lt;6,1.35,1)))</f>
        <v>13203.1292339733</v>
      </c>
      <c r="T20" s="65" t="n">
        <f aca="false">IF(T$5="A",Inputs_Actuals!T48,S20*(1+Account_Register!$M$18*Assumptions!$F$183*IF(20&lt;6,1.35,1)))</f>
        <v>13453.9886894188</v>
      </c>
      <c r="U20" s="65" t="n">
        <f aca="false">IF(U$5="A",Inputs_Actuals!U48,T20*(1+Account_Register!$M$18*Assumptions!$F$183*IF(21&lt;6,1.35,1)))</f>
        <v>13709.6144745178</v>
      </c>
      <c r="V20" s="65" t="n">
        <f aca="false">IF(V$5="A",Inputs_Actuals!V48,U20*(1+Account_Register!$M$18*Assumptions!$F$183*IF(22&lt;6,1.35,1)))</f>
        <v>13970.0971495336</v>
      </c>
      <c r="W20" s="65" t="n">
        <f aca="false">IF(W$5="A",Inputs_Actuals!W48,V20*(1+Account_Register!$M$18*Assumptions!$F$183*IF(23&lt;6,1.35,1)))</f>
        <v>14235.5289953748</v>
      </c>
      <c r="X20" s="65" t="n">
        <f aca="false">IF(X$5="A",Inputs_Actuals!X48,W20*(1+Account_Register!$M$18*Assumptions!$F$183*IF(24&lt;6,1.35,1))*Account_Register!$V$18)</f>
        <v>13055.4036416582</v>
      </c>
      <c r="Y20" s="65" t="n">
        <f aca="false">IF(Y$5="A",Inputs_Actuals!Y48,X20*(1+Account_Register!$M$18*Assumptions!$F$183*IF(25&lt;6,1.35,1)))</f>
        <v>13303.4563108497</v>
      </c>
      <c r="Z20" s="65" t="n">
        <f aca="false">IF(Z$5="A",Inputs_Actuals!Z48,Y20*(1+Account_Register!$M$18*Assumptions!$F$183*IF(26&lt;6,1.35,1)))</f>
        <v>13556.2219807558</v>
      </c>
      <c r="AA20" s="65" t="n">
        <f aca="false">IF(AA$5="A",Inputs_Actuals!AA48,Z20*(1+Account_Register!$M$18*Assumptions!$F$183*IF(27&lt;6,1.35,1)))</f>
        <v>13813.7901983902</v>
      </c>
      <c r="AB20" s="65" t="n">
        <f aca="false">IF(AB$5="A",Inputs_Actuals!AB48,AA20*(1+Account_Register!$M$18*Assumptions!$F$183*IF(28&lt;6,1.35,1)))</f>
        <v>14076.2522121596</v>
      </c>
    </row>
    <row r="21" customFormat="false" ht="15" hidden="false" customHeight="false" outlineLevel="0" collapsed="false">
      <c r="A21" s="28" t="s">
        <v>903</v>
      </c>
      <c r="B21" s="62" t="s">
        <v>891</v>
      </c>
      <c r="C21" s="64" t="n">
        <f aca="false">SUM(E21:P21)</f>
        <v>119382.729723742</v>
      </c>
      <c r="D21" s="64" t="n">
        <f aca="false">SUM(Q21:AB21)</f>
        <v>141955.203913245</v>
      </c>
      <c r="E21" s="65" t="n">
        <f aca="false">IF(E$5="A",Inputs_Actuals!E49,Account_Register!$J$19*(1+Account_Register!$M$19*Assumptions!$F$183*IF(3&lt;6,1.35,1)))</f>
        <v>8782.1</v>
      </c>
      <c r="F21" s="65" t="n">
        <f aca="false">IF(F$5="A",Inputs_Actuals!F49,E21*(1+Account_Register!$M$19*Assumptions!$F$183*IF(4&lt;6,1.35,1)))</f>
        <v>8834.01</v>
      </c>
      <c r="G21" s="65" t="n">
        <f aca="false">IF(G$5="A",Inputs_Actuals!G49,F21*(1+Account_Register!$M$19*Assumptions!$F$183*IF(5&lt;6,1.35,1)))</f>
        <v>10290.06</v>
      </c>
      <c r="H21" s="65" t="n">
        <f aca="false">IF(H$5="A",Inputs_Actuals!H49,G21*(1+Account_Register!$M$19*Assumptions!$F$183*IF(6&lt;6,1.35,1)))</f>
        <v>9774.21</v>
      </c>
      <c r="I21" s="65" t="n">
        <f aca="false">IF(I$5="A",Inputs_Actuals!I49,H21*(1+Account_Register!$M$19*Assumptions!$F$183*IF(7&lt;6,1.35,1)))</f>
        <v>9471.24</v>
      </c>
      <c r="J21" s="65" t="n">
        <f aca="false">IF(J$5="A",Inputs_Actuals!J49,I21*(1+Account_Register!$M$19*Assumptions!$F$183*IF(8&lt;6,1.35,1)))</f>
        <v>9971.1</v>
      </c>
      <c r="K21" s="65" t="n">
        <f aca="false">IF(K$5="A",Inputs_Actuals!K49,J21*(1+Account_Register!$M$19*Assumptions!$F$183*IF(9&lt;6,1.35,1)))</f>
        <v>10424.99</v>
      </c>
      <c r="L21" s="65" t="n">
        <f aca="false">IF(L$5="A",Inputs_Actuals!L49,K21*(1+Account_Register!$M$19*Assumptions!$F$183*IF(10&lt;6,1.35,1)))</f>
        <v>10432.39</v>
      </c>
      <c r="M21" s="65" t="n">
        <f aca="false">IF(M$5="A",Inputs_Actuals!M49,L21*(1+Account_Register!$M$19*Assumptions!$F$183*IF(11&lt;6,1.35,1)))</f>
        <v>10661.90258</v>
      </c>
      <c r="N21" s="65" t="n">
        <f aca="false">IF(N$5="A",Inputs_Actuals!N49,M21*(1+Account_Register!$M$19*Assumptions!$F$183*IF(12&lt;6,1.35,1))*Account_Register!$V$19)</f>
        <v>10024.7472818192</v>
      </c>
      <c r="O21" s="65" t="n">
        <f aca="false">IF(O$5="A",Inputs_Actuals!O49,N21*(1+Account_Register!$M$19*Assumptions!$F$183*IF(13&lt;6,1.35,1)))</f>
        <v>10245.2917220192</v>
      </c>
      <c r="P21" s="65" t="n">
        <f aca="false">IF(P$5="A",Inputs_Actuals!P49,O21*(1+Account_Register!$M$19*Assumptions!$F$183*IF(14&lt;6,1.35,1)))</f>
        <v>10470.6881399036</v>
      </c>
      <c r="Q21" s="65" t="n">
        <f aca="false">IF(Q$5="A",Inputs_Actuals!Q49,P21*(1+Account_Register!$M$19*Assumptions!$F$183*IF(15&lt;6,1.35,1)))</f>
        <v>10701.0432789815</v>
      </c>
      <c r="R21" s="65" t="n">
        <f aca="false">IF(R$5="A",Inputs_Actuals!R49,Q21*(1+Account_Register!$M$19*Assumptions!$F$183*IF(16&lt;6,1.35,1)))</f>
        <v>10936.4662311191</v>
      </c>
      <c r="S21" s="65" t="n">
        <f aca="false">IF(S$5="A",Inputs_Actuals!S49,R21*(1+Account_Register!$M$19*Assumptions!$F$183*IF(17&lt;6,1.35,1)))</f>
        <v>11177.0684882037</v>
      </c>
      <c r="T21" s="65" t="n">
        <f aca="false">IF(T$5="A",Inputs_Actuals!T49,S21*(1+Account_Register!$M$19*Assumptions!$F$183*IF(18&lt;6,1.35,1)))</f>
        <v>11422.9639949442</v>
      </c>
      <c r="U21" s="65" t="n">
        <f aca="false">IF(U$5="A",Inputs_Actuals!U49,T21*(1+Account_Register!$M$19*Assumptions!$F$183*IF(19&lt;6,1.35,1)))</f>
        <v>11674.269202833</v>
      </c>
      <c r="V21" s="65" t="n">
        <f aca="false">IF(V$5="A",Inputs_Actuals!V49,U21*(1+Account_Register!$M$19*Assumptions!$F$183*IF(20&lt;6,1.35,1)))</f>
        <v>11931.1031252953</v>
      </c>
      <c r="W21" s="65" t="n">
        <f aca="false">IF(W$5="A",Inputs_Actuals!W49,V21*(1+Account_Register!$M$19*Assumptions!$F$183*IF(21&lt;6,1.35,1)))</f>
        <v>12193.5873940518</v>
      </c>
      <c r="X21" s="65" t="n">
        <f aca="false">IF(X$5="A",Inputs_Actuals!X49,W21*(1+Account_Register!$M$19*Assumptions!$F$183*IF(22&lt;6,1.35,1)))</f>
        <v>12461.846316721</v>
      </c>
      <c r="Y21" s="65" t="n">
        <f aca="false">IF(Y$5="A",Inputs_Actuals!Y49,X21*(1+Account_Register!$M$19*Assumptions!$F$183*IF(23&lt;6,1.35,1)))</f>
        <v>12736.0069356888</v>
      </c>
      <c r="Z21" s="65" t="n">
        <f aca="false">IF(Z$5="A",Inputs_Actuals!Z49,Y21*(1+Account_Register!$M$19*Assumptions!$F$183*IF(24&lt;6,1.35,1))*Account_Register!$V$19)</f>
        <v>11974.9031612121</v>
      </c>
      <c r="AA21" s="65" t="n">
        <f aca="false">IF(AA$5="A",Inputs_Actuals!AA49,Z21*(1+Account_Register!$M$19*Assumptions!$F$183*IF(25&lt;6,1.35,1)))</f>
        <v>12238.3510307587</v>
      </c>
      <c r="AB21" s="65" t="n">
        <f aca="false">IF(AB$5="A",Inputs_Actuals!AB49,AA21*(1+Account_Register!$M$19*Assumptions!$F$183*IF(26&lt;6,1.35,1)))</f>
        <v>12507.5947534354</v>
      </c>
    </row>
    <row r="22" customFormat="false" ht="15" hidden="false" customHeight="false" outlineLevel="0" collapsed="false">
      <c r="A22" s="28" t="s">
        <v>904</v>
      </c>
      <c r="B22" s="62" t="s">
        <v>891</v>
      </c>
      <c r="C22" s="64" t="n">
        <f aca="false">SUM(E22:P22)</f>
        <v>113884.711271192</v>
      </c>
      <c r="D22" s="64" t="n">
        <f aca="false">SUM(Q22:AB22)</f>
        <v>194932.736861589</v>
      </c>
      <c r="E22" s="73" t="n">
        <f aca="false">0</f>
        <v>0</v>
      </c>
      <c r="F22" s="73" t="n">
        <f aca="false">0</f>
        <v>0</v>
      </c>
      <c r="G22" s="73" t="n">
        <f aca="false">0</f>
        <v>0</v>
      </c>
      <c r="H22" s="65" t="n">
        <f aca="false">IF(H$5="A",Inputs_Actuals!H50,G22*(1+Account_Register!$M$20*Assumptions!$F$183*IF(0&lt;6,1.35,1)))</f>
        <v>11000</v>
      </c>
      <c r="I22" s="65" t="n">
        <f aca="false">IF(I$5="A",Inputs_Actuals!I50,H22*(1+Account_Register!$M$20*Assumptions!$F$183*IF(1&lt;6,1.35,1)))</f>
        <v>11796.33</v>
      </c>
      <c r="J22" s="65" t="n">
        <f aca="false">IF(J$5="A",Inputs_Actuals!J50,I22*(1+Account_Register!$M$20*Assumptions!$F$183*IF(2&lt;6,1.35,1)))</f>
        <v>12698.99</v>
      </c>
      <c r="K22" s="65" t="n">
        <f aca="false">IF(K$5="A",Inputs_Actuals!K50,J22*(1+Account_Register!$M$20*Assumptions!$F$183*IF(3&lt;6,1.35,1)))</f>
        <v>11413.89</v>
      </c>
      <c r="L22" s="65" t="n">
        <f aca="false">IF(L$5="A",Inputs_Actuals!L50,K22*(1+Account_Register!$M$20*Assumptions!$F$183*IF(4&lt;6,1.35,1)))</f>
        <v>12511.62</v>
      </c>
      <c r="M22" s="65" t="n">
        <f aca="false">IF(M$5="A",Inputs_Actuals!M50,L22*(1+Account_Register!$M$20*Assumptions!$F$183*IF(5&lt;6,1.35,1)))</f>
        <v>13018.34061</v>
      </c>
      <c r="N22" s="65" t="n">
        <f aca="false">IF(N$5="A",Inputs_Actuals!N50,M22*(1+Account_Register!$M$20*Assumptions!$F$183*IF(6&lt;6,1.35,1)))</f>
        <v>13408.8908283</v>
      </c>
      <c r="O22" s="65" t="n">
        <f aca="false">IF(O$5="A",Inputs_Actuals!O50,N22*(1+Account_Register!$M$20*Assumptions!$F$183*IF(7&lt;6,1.35,1)))</f>
        <v>13811.157553149</v>
      </c>
      <c r="P22" s="65" t="n">
        <f aca="false">IF(P$5="A",Inputs_Actuals!P50,O22*(1+Account_Register!$M$20*Assumptions!$F$183*IF(8&lt;6,1.35,1)))</f>
        <v>14225.4922797435</v>
      </c>
      <c r="Q22" s="65" t="n">
        <f aca="false">IF(Q$5="A",Inputs_Actuals!Q50,P22*(1+Account_Register!$M$20*Assumptions!$F$183*IF(9&lt;6,1.35,1)))</f>
        <v>14652.2570481358</v>
      </c>
      <c r="R22" s="65" t="n">
        <f aca="false">IF(R$5="A",Inputs_Actuals!R50,Q22*(1+Account_Register!$M$20*Assumptions!$F$183*IF(10&lt;6,1.35,1)))</f>
        <v>15091.8247595799</v>
      </c>
      <c r="S22" s="65" t="n">
        <f aca="false">IF(S$5="A",Inputs_Actuals!S50,R22*(1+Account_Register!$M$20*Assumptions!$F$183*IF(11&lt;6,1.35,1)))</f>
        <v>15544.5795023672</v>
      </c>
      <c r="T22" s="65" t="n">
        <f aca="false">IF(T$5="A",Inputs_Actuals!T50,S22*(1+Account_Register!$M$20*Assumptions!$F$183*IF(12&lt;6,1.35,1))*Assumptions!$C$137)</f>
        <v>14730.0435364432</v>
      </c>
      <c r="U22" s="65" t="n">
        <f aca="false">IF(U$5="A",Inputs_Actuals!U50,T22*(1+Account_Register!$M$20*Assumptions!$F$183*IF(13&lt;6,1.35,1)))</f>
        <v>15171.9448425365</v>
      </c>
      <c r="V22" s="65" t="n">
        <f aca="false">IF(V$5="A",Inputs_Actuals!V50,U22*(1+Account_Register!$M$20*Assumptions!$F$183*IF(14&lt;6,1.35,1)))</f>
        <v>15627.1031878126</v>
      </c>
      <c r="W22" s="65" t="n">
        <f aca="false">IF(W$5="A",Inputs_Actuals!W50,V22*(1+Account_Register!$M$20*Assumptions!$F$183*IF(15&lt;6,1.35,1)))</f>
        <v>16095.916283447</v>
      </c>
      <c r="X22" s="65" t="n">
        <f aca="false">IF(X$5="A",Inputs_Actuals!X50,W22*(1+Account_Register!$M$20*Assumptions!$F$183*IF(16&lt;6,1.35,1)))</f>
        <v>16578.7937719504</v>
      </c>
      <c r="Y22" s="65" t="n">
        <f aca="false">IF(Y$5="A",Inputs_Actuals!Y50,X22*(1+Account_Register!$M$20*Assumptions!$F$183*IF(17&lt;6,1.35,1)))</f>
        <v>17076.1575851089</v>
      </c>
      <c r="Z22" s="65" t="n">
        <f aca="false">IF(Z$5="A",Inputs_Actuals!Z50,Y22*(1+Account_Register!$M$20*Assumptions!$F$183*IF(18&lt;6,1.35,1)))</f>
        <v>17588.4423126622</v>
      </c>
      <c r="AA22" s="65" t="n">
        <f aca="false">IF(AA$5="A",Inputs_Actuals!AA50,Z22*(1+Account_Register!$M$20*Assumptions!$F$183*IF(19&lt;6,1.35,1)))</f>
        <v>18116.095582042</v>
      </c>
      <c r="AB22" s="65" t="n">
        <f aca="false">IF(AB$5="A",Inputs_Actuals!AB50,AA22*(1+Account_Register!$M$20*Assumptions!$F$183*IF(20&lt;6,1.35,1)))</f>
        <v>18659.5784495033</v>
      </c>
    </row>
    <row r="23" customFormat="false" ht="15" hidden="false" customHeight="false" outlineLevel="0" collapsed="false">
      <c r="A23" s="28" t="s">
        <v>905</v>
      </c>
      <c r="B23" s="62" t="s">
        <v>891</v>
      </c>
      <c r="C23" s="64" t="n">
        <f aca="false">SUM(E23:P23)</f>
        <v>99704.8178444242</v>
      </c>
      <c r="D23" s="64" t="n">
        <f aca="false">SUM(Q23:AB23)</f>
        <v>259050.62751845</v>
      </c>
      <c r="E23" s="73" t="n">
        <f aca="false">0</f>
        <v>0</v>
      </c>
      <c r="F23" s="73" t="n">
        <f aca="false">0</f>
        <v>0</v>
      </c>
      <c r="G23" s="73" t="n">
        <f aca="false">0</f>
        <v>0</v>
      </c>
      <c r="H23" s="73" t="n">
        <f aca="false">0</f>
        <v>0</v>
      </c>
      <c r="I23" s="73" t="n">
        <f aca="false">0</f>
        <v>0</v>
      </c>
      <c r="J23" s="73" t="n">
        <f aca="false">0</f>
        <v>0</v>
      </c>
      <c r="K23" s="65" t="n">
        <f aca="false">IF(K$5="A",Inputs_Actuals!K51,J23*(1+Account_Register!$M$21*Assumptions!$F$183*IF(0&lt;6,1.35,1)))</f>
        <v>14000</v>
      </c>
      <c r="L23" s="65" t="n">
        <f aca="false">IF(L$5="A",Inputs_Actuals!L51,K23*(1+Account_Register!$M$21*Assumptions!$F$183*IF(1&lt;6,1.35,1)))</f>
        <v>15807.63</v>
      </c>
      <c r="M23" s="65" t="n">
        <f aca="false">IF(M$5="A",Inputs_Actuals!M51,L23*(1+Account_Register!$M$21*Assumptions!$F$183*IF(2&lt;6,1.35,1)))</f>
        <v>16447.839015</v>
      </c>
      <c r="N23" s="65" t="n">
        <f aca="false">IF(N$5="A",Inputs_Actuals!N51,M23*(1+Account_Register!$M$21*Assumptions!$F$183*IF(3&lt;6,1.35,1)))</f>
        <v>17113.9764951075</v>
      </c>
      <c r="O23" s="65" t="n">
        <f aca="false">IF(O$5="A",Inputs_Actuals!O51,N23*(1+Account_Register!$M$21*Assumptions!$F$183*IF(4&lt;6,1.35,1)))</f>
        <v>17807.0925431594</v>
      </c>
      <c r="P23" s="65" t="n">
        <f aca="false">IF(P$5="A",Inputs_Actuals!P51,O23*(1+Account_Register!$M$21*Assumptions!$F$183*IF(5&lt;6,1.35,1)))</f>
        <v>18528.2797911573</v>
      </c>
      <c r="Q23" s="65" t="n">
        <f aca="false">IF(Q$5="A",Inputs_Actuals!Q51,P23*(1+Account_Register!$M$21*Assumptions!$F$183*IF(6&lt;6,1.35,1)))</f>
        <v>19084.128184892</v>
      </c>
      <c r="R23" s="65" t="n">
        <f aca="false">IF(R$5="A",Inputs_Actuals!R51,Q23*(1+Account_Register!$M$21*Assumptions!$F$183*IF(7&lt;6,1.35,1)))</f>
        <v>19656.6520304388</v>
      </c>
      <c r="S23" s="65" t="n">
        <f aca="false">IF(S$5="A",Inputs_Actuals!S51,R23*(1+Account_Register!$M$21*Assumptions!$F$183*IF(8&lt;6,1.35,1)))</f>
        <v>20246.3515913519</v>
      </c>
      <c r="T23" s="65" t="n">
        <f aca="false">IF(T$5="A",Inputs_Actuals!T51,S23*(1+Account_Register!$M$21*Assumptions!$F$183*IF(9&lt;6,1.35,1)))</f>
        <v>20853.7421390925</v>
      </c>
      <c r="U23" s="65" t="n">
        <f aca="false">IF(U$5="A",Inputs_Actuals!U51,T23*(1+Account_Register!$M$21*Assumptions!$F$183*IF(10&lt;6,1.35,1)))</f>
        <v>21479.3544032653</v>
      </c>
      <c r="V23" s="65" t="n">
        <f aca="false">IF(V$5="A",Inputs_Actuals!V51,U23*(1+Account_Register!$M$21*Assumptions!$F$183*IF(11&lt;6,1.35,1)))</f>
        <v>22123.7350353632</v>
      </c>
      <c r="W23" s="65" t="n">
        <f aca="false">IF(W$5="A",Inputs_Actuals!W51,V23*(1+Account_Register!$M$21*Assumptions!$F$183*IF(12&lt;6,1.35,1))*Assumptions!$C$137)</f>
        <v>20964.4513195102</v>
      </c>
      <c r="X23" s="65" t="n">
        <f aca="false">IF(X$5="A",Inputs_Actuals!X51,W23*(1+Account_Register!$M$21*Assumptions!$F$183*IF(13&lt;6,1.35,1)))</f>
        <v>21593.3848590955</v>
      </c>
      <c r="Y23" s="65" t="n">
        <f aca="false">IF(Y$5="A",Inputs_Actuals!Y51,X23*(1+Account_Register!$M$21*Assumptions!$F$183*IF(14&lt;6,1.35,1)))</f>
        <v>22241.1864048684</v>
      </c>
      <c r="Z23" s="65" t="n">
        <f aca="false">IF(Z$5="A",Inputs_Actuals!Z51,Y23*(1+Account_Register!$M$21*Assumptions!$F$183*IF(15&lt;6,1.35,1)))</f>
        <v>22908.4219970144</v>
      </c>
      <c r="AA23" s="65" t="n">
        <f aca="false">IF(AA$5="A",Inputs_Actuals!AA51,Z23*(1+Account_Register!$M$21*Assumptions!$F$183*IF(16&lt;6,1.35,1)))</f>
        <v>23595.6746569249</v>
      </c>
      <c r="AB23" s="65" t="n">
        <f aca="false">IF(AB$5="A",Inputs_Actuals!AB51,AA23*(1+Account_Register!$M$21*Assumptions!$F$183*IF(17&lt;6,1.35,1)))</f>
        <v>24303.5448966326</v>
      </c>
    </row>
    <row r="24" customFormat="false" ht="15" hidden="false" customHeight="false" outlineLevel="0" collapsed="false">
      <c r="A24" s="28" t="s">
        <v>906</v>
      </c>
      <c r="B24" s="62" t="s">
        <v>907</v>
      </c>
      <c r="C24" s="64" t="n">
        <f aca="false">SUM(E24:P24)</f>
        <v>18180.855</v>
      </c>
      <c r="D24" s="64" t="n">
        <f aca="false">SUM(Q24:AB24)</f>
        <v>138349.980794157</v>
      </c>
      <c r="E24" s="65" t="n">
        <f aca="false">IF(Assumptions!E$204&lt;Account_Register!$W$22,0,IF(Assumptions!E$204=Account_Register!$W$22,Account_Register!$J$22*Account_Register!$V$22,0*(1+Account_Register!$M$22*Assumptions!$F$183*IF((Assumptions!E$204-Account_Register!$W$22)&lt;6,1.35,1))*IF(MOD(Assumptions!E$204-Account_Register!$W$22,12)=0,Assumptions!$C$137,1)))</f>
        <v>0</v>
      </c>
      <c r="F24" s="65" t="n">
        <f aca="false">IF(Assumptions!F$204&lt;Account_Register!$W$22,0,IF(Assumptions!F$204=Account_Register!$W$22,Account_Register!$J$22*Account_Register!$V$22,E24*(1+Account_Register!$M$22*Assumptions!$F$183*IF((Assumptions!F$204-Account_Register!$W$22)&lt;6,1.35,1))*IF(MOD(Assumptions!F$204-Account_Register!$W$22,12)=0,Assumptions!$C$137,1)))</f>
        <v>0</v>
      </c>
      <c r="G24" s="65" t="n">
        <f aca="false">IF(Assumptions!G$204&lt;Account_Register!$W$22,0,IF(Assumptions!G$204=Account_Register!$W$22,Account_Register!$J$22*Account_Register!$V$22,F24*(1+Account_Register!$M$22*Assumptions!$F$183*IF((Assumptions!G$204-Account_Register!$W$22)&lt;6,1.35,1))*IF(MOD(Assumptions!G$204-Account_Register!$W$22,12)=0,Assumptions!$C$137,1)))</f>
        <v>0</v>
      </c>
      <c r="H24" s="65" t="n">
        <f aca="false">IF(Assumptions!H$204&lt;Account_Register!$W$22,0,IF(Assumptions!H$204=Account_Register!$W$22,Account_Register!$J$22*Account_Register!$V$22,G24*(1+Account_Register!$M$22*Assumptions!$F$183*IF((Assumptions!H$204-Account_Register!$W$22)&lt;6,1.35,1))*IF(MOD(Assumptions!H$204-Account_Register!$W$22,12)=0,Assumptions!$C$137,1)))</f>
        <v>0</v>
      </c>
      <c r="I24" s="65" t="n">
        <f aca="false">IF(Assumptions!I$204&lt;Account_Register!$W$22,0,IF(Assumptions!I$204=Account_Register!$W$22,Account_Register!$J$22*Account_Register!$V$22,H24*(1+Account_Register!$M$22*Assumptions!$F$183*IF((Assumptions!I$204-Account_Register!$W$22)&lt;6,1.35,1))*IF(MOD(Assumptions!I$204-Account_Register!$W$22,12)=0,Assumptions!$C$137,1)))</f>
        <v>0</v>
      </c>
      <c r="J24" s="65" t="n">
        <f aca="false">IF(Assumptions!J$204&lt;Account_Register!$W$22,0,IF(Assumptions!J$204=Account_Register!$W$22,Account_Register!$J$22*Account_Register!$V$22,I24*(1+Account_Register!$M$22*Assumptions!$F$183*IF((Assumptions!J$204-Account_Register!$W$22)&lt;6,1.35,1))*IF(MOD(Assumptions!J$204-Account_Register!$W$22,12)=0,Assumptions!$C$137,1)))</f>
        <v>0</v>
      </c>
      <c r="K24" s="65" t="n">
        <f aca="false">IF(Assumptions!K$204&lt;Account_Register!$W$22,0,IF(Assumptions!K$204=Account_Register!$W$22,Account_Register!$J$22*Account_Register!$V$22,J24*(1+Account_Register!$M$22*Assumptions!$F$183*IF((Assumptions!K$204-Account_Register!$W$22)&lt;6,1.35,1))*IF(MOD(Assumptions!K$204-Account_Register!$W$22,12)=0,Assumptions!$C$137,1)))</f>
        <v>0</v>
      </c>
      <c r="L24" s="65" t="n">
        <f aca="false">IF(Assumptions!L$204&lt;Account_Register!$W$22,0,IF(Assumptions!L$204=Account_Register!$W$22,Account_Register!$J$22*Account_Register!$V$22,K24*(1+Account_Register!$M$22*Assumptions!$F$183*IF((Assumptions!L$204-Account_Register!$W$22)&lt;6,1.35,1))*IF(MOD(Assumptions!L$204-Account_Register!$W$22,12)=0,Assumptions!$C$137,1)))</f>
        <v>0</v>
      </c>
      <c r="M24" s="65" t="n">
        <f aca="false">IF(Assumptions!M$204&lt;Account_Register!$W$22,0,IF(Assumptions!M$204=Account_Register!$W$22,Account_Register!$J$22*Account_Register!$V$22,L24*(1+Account_Register!$M$22*Assumptions!$F$183*IF((Assumptions!M$204-Account_Register!$W$22)&lt;6,1.35,1))*IF(MOD(Assumptions!M$204-Account_Register!$W$22,12)=0,Assumptions!$C$137,1)))</f>
        <v>0</v>
      </c>
      <c r="N24" s="65" t="n">
        <f aca="false">IF(Assumptions!N$204&lt;Account_Register!$W$22,0,IF(Assumptions!N$204=Account_Register!$W$22,Account_Register!$J$22*Account_Register!$V$22,M24*(1+Account_Register!$M$22*Assumptions!$F$183*IF((Assumptions!N$204-Account_Register!$W$22)&lt;6,1.35,1))*IF(MOD(Assumptions!N$204-Account_Register!$W$22,12)=0,Assumptions!$C$137,1)))</f>
        <v>0</v>
      </c>
      <c r="O24" s="65" t="n">
        <f aca="false">IF(Assumptions!O$204&lt;Account_Register!$W$22,0,IF(Assumptions!O$204=Account_Register!$W$22,Account_Register!$J$22*Account_Register!$V$22,N24*(1+Account_Register!$M$22*Assumptions!$F$183*IF((Assumptions!O$204-Account_Register!$W$22)&lt;6,1.35,1))*IF(MOD(Assumptions!O$204-Account_Register!$W$22,12)=0,Assumptions!$C$137,1)))</f>
        <v>8910</v>
      </c>
      <c r="P24" s="65" t="n">
        <f aca="false">IF(Assumptions!P$204&lt;Account_Register!$W$22,0,IF(Assumptions!P$204=Account_Register!$W$22,Account_Register!$J$22*Account_Register!$V$22,O24*(1+Account_Register!$M$22*Assumptions!$F$183*IF((Assumptions!P$204-Account_Register!$W$22)&lt;6,1.35,1))*IF(MOD(Assumptions!P$204-Account_Register!$W$22,12)=0,Assumptions!$C$137,1)))</f>
        <v>9270.855</v>
      </c>
      <c r="Q24" s="65" t="n">
        <f aca="false">IF(Assumptions!Q$204&lt;Account_Register!$W$22,0,IF(Assumptions!Q$204=Account_Register!$W$22,Account_Register!$J$22*Account_Register!$V$22,P24*(1+Account_Register!$M$22*Assumptions!$F$183*IF((Assumptions!Q$204-Account_Register!$W$22)&lt;6,1.35,1))*IF(MOD(Assumptions!Q$204-Account_Register!$W$22,12)=0,Assumptions!$C$137,1)))</f>
        <v>9646.3246275</v>
      </c>
      <c r="R24" s="65" t="n">
        <f aca="false">IF(Assumptions!R$204&lt;Account_Register!$W$22,0,IF(Assumptions!R$204=Account_Register!$W$22,Account_Register!$J$22*Account_Register!$V$22,Q24*(1+Account_Register!$M$22*Assumptions!$F$183*IF((Assumptions!R$204-Account_Register!$W$22)&lt;6,1.35,1))*IF(MOD(Assumptions!R$204-Account_Register!$W$22,12)=0,Assumptions!$C$137,1)))</f>
        <v>10037.0007749138</v>
      </c>
      <c r="S24" s="65" t="n">
        <f aca="false">IF(Assumptions!S$204&lt;Account_Register!$W$22,0,IF(Assumptions!S$204=Account_Register!$W$22,Account_Register!$J$22*Account_Register!$V$22,R24*(1+Account_Register!$M$22*Assumptions!$F$183*IF((Assumptions!S$204-Account_Register!$W$22)&lt;6,1.35,1))*IF(MOD(Assumptions!S$204-Account_Register!$W$22,12)=0,Assumptions!$C$137,1)))</f>
        <v>10443.4993062978</v>
      </c>
      <c r="T24" s="65" t="n">
        <f aca="false">IF(Assumptions!T$204&lt;Account_Register!$W$22,0,IF(Assumptions!T$204=Account_Register!$W$22,Account_Register!$J$22*Account_Register!$V$22,S24*(1+Account_Register!$M$22*Assumptions!$F$183*IF((Assumptions!T$204-Account_Register!$W$22)&lt;6,1.35,1))*IF(MOD(Assumptions!T$204-Account_Register!$W$22,12)=0,Assumptions!$C$137,1)))</f>
        <v>10866.4610282028</v>
      </c>
      <c r="U24" s="65" t="n">
        <f aca="false">IF(Assumptions!U$204&lt;Account_Register!$W$22,0,IF(Assumptions!U$204=Account_Register!$W$22,Account_Register!$J$22*Account_Register!$V$22,T24*(1+Account_Register!$M$22*Assumptions!$F$183*IF((Assumptions!U$204-Account_Register!$W$22)&lt;6,1.35,1))*IF(MOD(Assumptions!U$204-Account_Register!$W$22,12)=0,Assumptions!$C$137,1)))</f>
        <v>11192.4548590489</v>
      </c>
      <c r="V24" s="65" t="n">
        <f aca="false">IF(Assumptions!V$204&lt;Account_Register!$W$22,0,IF(Assumptions!V$204=Account_Register!$W$22,Account_Register!$J$22*Account_Register!$V$22,U24*(1+Account_Register!$M$22*Assumptions!$F$183*IF((Assumptions!V$204-Account_Register!$W$22)&lt;6,1.35,1))*IF(MOD(Assumptions!V$204-Account_Register!$W$22,12)=0,Assumptions!$C$137,1)))</f>
        <v>11528.2285048204</v>
      </c>
      <c r="W24" s="65" t="n">
        <f aca="false">IF(Assumptions!W$204&lt;Account_Register!$W$22,0,IF(Assumptions!W$204=Account_Register!$W$22,Account_Register!$J$22*Account_Register!$V$22,V24*(1+Account_Register!$M$22*Assumptions!$F$183*IF((Assumptions!W$204-Account_Register!$W$22)&lt;6,1.35,1))*IF(MOD(Assumptions!W$204-Account_Register!$W$22,12)=0,Assumptions!$C$137,1)))</f>
        <v>11874.075359965</v>
      </c>
      <c r="X24" s="65" t="n">
        <f aca="false">IF(Assumptions!X$204&lt;Account_Register!$W$22,0,IF(Assumptions!X$204=Account_Register!$W$22,Account_Register!$J$22*Account_Register!$V$22,W24*(1+Account_Register!$M$22*Assumptions!$F$183*IF((Assumptions!X$204-Account_Register!$W$22)&lt;6,1.35,1))*IF(MOD(Assumptions!X$204-Account_Register!$W$22,12)=0,Assumptions!$C$137,1)))</f>
        <v>12230.2976207639</v>
      </c>
      <c r="Y24" s="65" t="n">
        <f aca="false">IF(Assumptions!Y$204&lt;Account_Register!$W$22,0,IF(Assumptions!Y$204=Account_Register!$W$22,Account_Register!$J$22*Account_Register!$V$22,X24*(1+Account_Register!$M$22*Assumptions!$F$183*IF((Assumptions!Y$204-Account_Register!$W$22)&lt;6,1.35,1))*IF(MOD(Assumptions!Y$204-Account_Register!$W$22,12)=0,Assumptions!$C$137,1)))</f>
        <v>12597.2065493868</v>
      </c>
      <c r="Z24" s="65" t="n">
        <f aca="false">IF(Assumptions!Z$204&lt;Account_Register!$W$22,0,IF(Assumptions!Z$204=Account_Register!$W$22,Account_Register!$J$22*Account_Register!$V$22,Y24*(1+Account_Register!$M$22*Assumptions!$F$183*IF((Assumptions!Z$204-Account_Register!$W$22)&lt;6,1.35,1))*IF(MOD(Assumptions!Z$204-Account_Register!$W$22,12)=0,Assumptions!$C$137,1)))</f>
        <v>12975.1227458685</v>
      </c>
      <c r="AA24" s="65" t="n">
        <f aca="false">IF(Assumptions!AA$204&lt;Account_Register!$W$22,0,IF(Assumptions!AA$204=Account_Register!$W$22,Account_Register!$J$22*Account_Register!$V$22,Z24*(1+Account_Register!$M$22*Assumptions!$F$183*IF((Assumptions!AA$204-Account_Register!$W$22)&lt;6,1.35,1))*IF(MOD(Assumptions!AA$204-Account_Register!$W$22,12)=0,Assumptions!$C$137,1)))</f>
        <v>12295.2263139849</v>
      </c>
      <c r="AB24" s="65" t="n">
        <f aca="false">IF(Assumptions!AB$204&lt;Account_Register!$W$22,0,IF(Assumptions!AB$204=Account_Register!$W$22,Account_Register!$J$22*Account_Register!$V$22,AA24*(1+Account_Register!$M$22*Assumptions!$F$183*IF((Assumptions!AB$204-Account_Register!$W$22)&lt;6,1.35,1))*IF(MOD(Assumptions!AB$204-Account_Register!$W$22,12)=0,Assumptions!$C$137,1)))</f>
        <v>12664.0831034045</v>
      </c>
    </row>
    <row r="25" customFormat="false" ht="15" hidden="false" customHeight="false" outlineLevel="0" collapsed="false">
      <c r="A25" s="28" t="s">
        <v>908</v>
      </c>
      <c r="B25" s="62" t="s">
        <v>907</v>
      </c>
      <c r="C25" s="64" t="n">
        <f aca="false">SUM(E25:P25)</f>
        <v>5400</v>
      </c>
      <c r="D25" s="64" t="n">
        <f aca="false">SUM(Q25:AB25)</f>
        <v>81791.9713277289</v>
      </c>
      <c r="E25" s="65" t="n">
        <f aca="false">IF(Assumptions!E$204&lt;Account_Register!$W$23,0,IF(Assumptions!E$204=Account_Register!$W$23,Account_Register!$J$23*Account_Register!$V$23,0*(1+Account_Register!$M$23*Assumptions!$F$183*IF((Assumptions!E$204-Account_Register!$W$23)&lt;6,1.35,1))*IF(MOD(Assumptions!E$204-Account_Register!$W$23,12)=0,Assumptions!$C$137,1)))</f>
        <v>0</v>
      </c>
      <c r="F25" s="65" t="n">
        <f aca="false">IF(Assumptions!F$204&lt;Account_Register!$W$23,0,IF(Assumptions!F$204=Account_Register!$W$23,Account_Register!$J$23*Account_Register!$V$23,E25*(1+Account_Register!$M$23*Assumptions!$F$183*IF((Assumptions!F$204-Account_Register!$W$23)&lt;6,1.35,1))*IF(MOD(Assumptions!F$204-Account_Register!$W$23,12)=0,Assumptions!$C$137,1)))</f>
        <v>0</v>
      </c>
      <c r="G25" s="65" t="n">
        <f aca="false">IF(Assumptions!G$204&lt;Account_Register!$W$23,0,IF(Assumptions!G$204=Account_Register!$W$23,Account_Register!$J$23*Account_Register!$V$23,F25*(1+Account_Register!$M$23*Assumptions!$F$183*IF((Assumptions!G$204-Account_Register!$W$23)&lt;6,1.35,1))*IF(MOD(Assumptions!G$204-Account_Register!$W$23,12)=0,Assumptions!$C$137,1)))</f>
        <v>0</v>
      </c>
      <c r="H25" s="65" t="n">
        <f aca="false">IF(Assumptions!H$204&lt;Account_Register!$W$23,0,IF(Assumptions!H$204=Account_Register!$W$23,Account_Register!$J$23*Account_Register!$V$23,G25*(1+Account_Register!$M$23*Assumptions!$F$183*IF((Assumptions!H$204-Account_Register!$W$23)&lt;6,1.35,1))*IF(MOD(Assumptions!H$204-Account_Register!$W$23,12)=0,Assumptions!$C$137,1)))</f>
        <v>0</v>
      </c>
      <c r="I25" s="65" t="n">
        <f aca="false">IF(Assumptions!I$204&lt;Account_Register!$W$23,0,IF(Assumptions!I$204=Account_Register!$W$23,Account_Register!$J$23*Account_Register!$V$23,H25*(1+Account_Register!$M$23*Assumptions!$F$183*IF((Assumptions!I$204-Account_Register!$W$23)&lt;6,1.35,1))*IF(MOD(Assumptions!I$204-Account_Register!$W$23,12)=0,Assumptions!$C$137,1)))</f>
        <v>0</v>
      </c>
      <c r="J25" s="65" t="n">
        <f aca="false">IF(Assumptions!J$204&lt;Account_Register!$W$23,0,IF(Assumptions!J$204=Account_Register!$W$23,Account_Register!$J$23*Account_Register!$V$23,I25*(1+Account_Register!$M$23*Assumptions!$F$183*IF((Assumptions!J$204-Account_Register!$W$23)&lt;6,1.35,1))*IF(MOD(Assumptions!J$204-Account_Register!$W$23,12)=0,Assumptions!$C$137,1)))</f>
        <v>0</v>
      </c>
      <c r="K25" s="65" t="n">
        <f aca="false">IF(Assumptions!K$204&lt;Account_Register!$W$23,0,IF(Assumptions!K$204=Account_Register!$W$23,Account_Register!$J$23*Account_Register!$V$23,J25*(1+Account_Register!$M$23*Assumptions!$F$183*IF((Assumptions!K$204-Account_Register!$W$23)&lt;6,1.35,1))*IF(MOD(Assumptions!K$204-Account_Register!$W$23,12)=0,Assumptions!$C$137,1)))</f>
        <v>0</v>
      </c>
      <c r="L25" s="65" t="n">
        <f aca="false">IF(Assumptions!L$204&lt;Account_Register!$W$23,0,IF(Assumptions!L$204=Account_Register!$W$23,Account_Register!$J$23*Account_Register!$V$23,K25*(1+Account_Register!$M$23*Assumptions!$F$183*IF((Assumptions!L$204-Account_Register!$W$23)&lt;6,1.35,1))*IF(MOD(Assumptions!L$204-Account_Register!$W$23,12)=0,Assumptions!$C$137,1)))</f>
        <v>0</v>
      </c>
      <c r="M25" s="65" t="n">
        <f aca="false">IF(Assumptions!M$204&lt;Account_Register!$W$23,0,IF(Assumptions!M$204=Account_Register!$W$23,Account_Register!$J$23*Account_Register!$V$23,L25*(1+Account_Register!$M$23*Assumptions!$F$183*IF((Assumptions!M$204-Account_Register!$W$23)&lt;6,1.35,1))*IF(MOD(Assumptions!M$204-Account_Register!$W$23,12)=0,Assumptions!$C$137,1)))</f>
        <v>0</v>
      </c>
      <c r="N25" s="65" t="n">
        <f aca="false">IF(Assumptions!N$204&lt;Account_Register!$W$23,0,IF(Assumptions!N$204=Account_Register!$W$23,Account_Register!$J$23*Account_Register!$V$23,M25*(1+Account_Register!$M$23*Assumptions!$F$183*IF((Assumptions!N$204-Account_Register!$W$23)&lt;6,1.35,1))*IF(MOD(Assumptions!N$204-Account_Register!$W$23,12)=0,Assumptions!$C$137,1)))</f>
        <v>0</v>
      </c>
      <c r="O25" s="65" t="n">
        <f aca="false">IF(Assumptions!O$204&lt;Account_Register!$W$23,0,IF(Assumptions!O$204=Account_Register!$W$23,Account_Register!$J$23*Account_Register!$V$23,N25*(1+Account_Register!$M$23*Assumptions!$F$183*IF((Assumptions!O$204-Account_Register!$W$23)&lt;6,1.35,1))*IF(MOD(Assumptions!O$204-Account_Register!$W$23,12)=0,Assumptions!$C$137,1)))</f>
        <v>0</v>
      </c>
      <c r="P25" s="65" t="n">
        <f aca="false">IF(Assumptions!P$204&lt;Account_Register!$W$23,0,IF(Assumptions!P$204=Account_Register!$W$23,Account_Register!$J$23*Account_Register!$V$23,O25*(1+Account_Register!$M$23*Assumptions!$F$183*IF((Assumptions!P$204-Account_Register!$W$23)&lt;6,1.35,1))*IF(MOD(Assumptions!P$204-Account_Register!$W$23,12)=0,Assumptions!$C$137,1)))</f>
        <v>5400</v>
      </c>
      <c r="Q25" s="65" t="n">
        <f aca="false">IF(Assumptions!Q$204&lt;Account_Register!$W$23,0,IF(Assumptions!Q$204=Account_Register!$W$23,Account_Register!$J$23*Account_Register!$V$23,P25*(1+Account_Register!$M$23*Assumptions!$F$183*IF((Assumptions!Q$204-Account_Register!$W$23)&lt;6,1.35,1))*IF(MOD(Assumptions!Q$204-Account_Register!$W$23,12)=0,Assumptions!$C$137,1)))</f>
        <v>5618.7</v>
      </c>
      <c r="R25" s="65" t="n">
        <f aca="false">IF(Assumptions!R$204&lt;Account_Register!$W$23,0,IF(Assumptions!R$204=Account_Register!$W$23,Account_Register!$J$23*Account_Register!$V$23,Q25*(1+Account_Register!$M$23*Assumptions!$F$183*IF((Assumptions!R$204-Account_Register!$W$23)&lt;6,1.35,1))*IF(MOD(Assumptions!R$204-Account_Register!$W$23,12)=0,Assumptions!$C$137,1)))</f>
        <v>5846.25735</v>
      </c>
      <c r="S25" s="65" t="n">
        <f aca="false">IF(Assumptions!S$204&lt;Account_Register!$W$23,0,IF(Assumptions!S$204=Account_Register!$W$23,Account_Register!$J$23*Account_Register!$V$23,R25*(1+Account_Register!$M$23*Assumptions!$F$183*IF((Assumptions!S$204-Account_Register!$W$23)&lt;6,1.35,1))*IF(MOD(Assumptions!S$204-Account_Register!$W$23,12)=0,Assumptions!$C$137,1)))</f>
        <v>6083.030772675</v>
      </c>
      <c r="T25" s="65" t="n">
        <f aca="false">IF(Assumptions!T$204&lt;Account_Register!$W$23,0,IF(Assumptions!T$204=Account_Register!$W$23,Account_Register!$J$23*Account_Register!$V$23,S25*(1+Account_Register!$M$23*Assumptions!$F$183*IF((Assumptions!T$204-Account_Register!$W$23)&lt;6,1.35,1))*IF(MOD(Assumptions!T$204-Account_Register!$W$23,12)=0,Assumptions!$C$137,1)))</f>
        <v>6329.39351896834</v>
      </c>
      <c r="U25" s="65" t="n">
        <f aca="false">IF(Assumptions!U$204&lt;Account_Register!$W$23,0,IF(Assumptions!U$204=Account_Register!$W$23,Account_Register!$J$23*Account_Register!$V$23,T25*(1+Account_Register!$M$23*Assumptions!$F$183*IF((Assumptions!U$204-Account_Register!$W$23)&lt;6,1.35,1))*IF(MOD(Assumptions!U$204-Account_Register!$W$23,12)=0,Assumptions!$C$137,1)))</f>
        <v>6585.73395648655</v>
      </c>
      <c r="V25" s="65" t="n">
        <f aca="false">IF(Assumptions!V$204&lt;Account_Register!$W$23,0,IF(Assumptions!V$204=Account_Register!$W$23,Account_Register!$J$23*Account_Register!$V$23,U25*(1+Account_Register!$M$23*Assumptions!$F$183*IF((Assumptions!V$204-Account_Register!$W$23)&lt;6,1.35,1))*IF(MOD(Assumptions!V$204-Account_Register!$W$23,12)=0,Assumptions!$C$137,1)))</f>
        <v>6783.30597518115</v>
      </c>
      <c r="W25" s="65" t="n">
        <f aca="false">IF(Assumptions!W$204&lt;Account_Register!$W$23,0,IF(Assumptions!W$204=Account_Register!$W$23,Account_Register!$J$23*Account_Register!$V$23,V25*(1+Account_Register!$M$23*Assumptions!$F$183*IF((Assumptions!W$204-Account_Register!$W$23)&lt;6,1.35,1))*IF(MOD(Assumptions!W$204-Account_Register!$W$23,12)=0,Assumptions!$C$137,1)))</f>
        <v>6986.80515443659</v>
      </c>
      <c r="X25" s="65" t="n">
        <f aca="false">IF(Assumptions!X$204&lt;Account_Register!$W$23,0,IF(Assumptions!X$204=Account_Register!$W$23,Account_Register!$J$23*Account_Register!$V$23,W25*(1+Account_Register!$M$23*Assumptions!$F$183*IF((Assumptions!X$204-Account_Register!$W$23)&lt;6,1.35,1))*IF(MOD(Assumptions!X$204-Account_Register!$W$23,12)=0,Assumptions!$C$137,1)))</f>
        <v>7196.40930906968</v>
      </c>
      <c r="Y25" s="65" t="n">
        <f aca="false">IF(Assumptions!Y$204&lt;Account_Register!$W$23,0,IF(Assumptions!Y$204=Account_Register!$W$23,Account_Register!$J$23*Account_Register!$V$23,X25*(1+Account_Register!$M$23*Assumptions!$F$183*IF((Assumptions!Y$204-Account_Register!$W$23)&lt;6,1.35,1))*IF(MOD(Assumptions!Y$204-Account_Register!$W$23,12)=0,Assumptions!$C$137,1)))</f>
        <v>7412.30158834177</v>
      </c>
      <c r="Z25" s="65" t="n">
        <f aca="false">IF(Assumptions!Z$204&lt;Account_Register!$W$23,0,IF(Assumptions!Z$204=Account_Register!$W$23,Account_Register!$J$23*Account_Register!$V$23,Y25*(1+Account_Register!$M$23*Assumptions!$F$183*IF((Assumptions!Z$204-Account_Register!$W$23)&lt;6,1.35,1))*IF(MOD(Assumptions!Z$204-Account_Register!$W$23,12)=0,Assumptions!$C$137,1)))</f>
        <v>7634.67063599203</v>
      </c>
      <c r="AA25" s="65" t="n">
        <f aca="false">IF(Assumptions!AA$204&lt;Account_Register!$W$23,0,IF(Assumptions!AA$204=Account_Register!$W$23,Account_Register!$J$23*Account_Register!$V$23,Z25*(1+Account_Register!$M$23*Assumptions!$F$183*IF((Assumptions!AA$204-Account_Register!$W$23)&lt;6,1.35,1))*IF(MOD(Assumptions!AA$204-Account_Register!$W$23,12)=0,Assumptions!$C$137,1)))</f>
        <v>7863.71075507179</v>
      </c>
      <c r="AB25" s="65" t="n">
        <f aca="false">IF(Assumptions!AB$204&lt;Account_Register!$W$23,0,IF(Assumptions!AB$204=Account_Register!$W$23,Account_Register!$J$23*Account_Register!$V$23,AA25*(1+Account_Register!$M$23*Assumptions!$F$183*IF((Assumptions!AB$204-Account_Register!$W$23)&lt;6,1.35,1))*IF(MOD(Assumptions!AB$204-Account_Register!$W$23,12)=0,Assumptions!$C$137,1)))</f>
        <v>7451.65231150603</v>
      </c>
    </row>
    <row r="26" customFormat="false" ht="15" hidden="false" customHeight="false" outlineLevel="0" collapsed="false">
      <c r="A26" s="28" t="s">
        <v>909</v>
      </c>
      <c r="B26" s="62" t="s">
        <v>907</v>
      </c>
      <c r="C26" s="64" t="n">
        <f aca="false">SUM(E26:P26)</f>
        <v>0</v>
      </c>
      <c r="D26" s="64" t="n">
        <f aca="false">SUM(Q26:AB26)</f>
        <v>100627.251565612</v>
      </c>
      <c r="E26" s="65" t="n">
        <f aca="false">IF(Assumptions!E$204&lt;Account_Register!$W$24,0,IF(Assumptions!E$204=Account_Register!$W$24,Account_Register!$J$24*Account_Register!$V$24,0*(1+Account_Register!$M$24*Assumptions!$F$183*IF((Assumptions!E$204-Account_Register!$W$24)&lt;6,1.35,1))*IF(MOD(Assumptions!E$204-Account_Register!$W$24,12)=0,Assumptions!$C$137,1)))</f>
        <v>0</v>
      </c>
      <c r="F26" s="65" t="n">
        <f aca="false">IF(Assumptions!F$204&lt;Account_Register!$W$24,0,IF(Assumptions!F$204=Account_Register!$W$24,Account_Register!$J$24*Account_Register!$V$24,E26*(1+Account_Register!$M$24*Assumptions!$F$183*IF((Assumptions!F$204-Account_Register!$W$24)&lt;6,1.35,1))*IF(MOD(Assumptions!F$204-Account_Register!$W$24,12)=0,Assumptions!$C$137,1)))</f>
        <v>0</v>
      </c>
      <c r="G26" s="65" t="n">
        <f aca="false">IF(Assumptions!G$204&lt;Account_Register!$W$24,0,IF(Assumptions!G$204=Account_Register!$W$24,Account_Register!$J$24*Account_Register!$V$24,F26*(1+Account_Register!$M$24*Assumptions!$F$183*IF((Assumptions!G$204-Account_Register!$W$24)&lt;6,1.35,1))*IF(MOD(Assumptions!G$204-Account_Register!$W$24,12)=0,Assumptions!$C$137,1)))</f>
        <v>0</v>
      </c>
      <c r="H26" s="65" t="n">
        <f aca="false">IF(Assumptions!H$204&lt;Account_Register!$W$24,0,IF(Assumptions!H$204=Account_Register!$W$24,Account_Register!$J$24*Account_Register!$V$24,G26*(1+Account_Register!$M$24*Assumptions!$F$183*IF((Assumptions!H$204-Account_Register!$W$24)&lt;6,1.35,1))*IF(MOD(Assumptions!H$204-Account_Register!$W$24,12)=0,Assumptions!$C$137,1)))</f>
        <v>0</v>
      </c>
      <c r="I26" s="65" t="n">
        <f aca="false">IF(Assumptions!I$204&lt;Account_Register!$W$24,0,IF(Assumptions!I$204=Account_Register!$W$24,Account_Register!$J$24*Account_Register!$V$24,H26*(1+Account_Register!$M$24*Assumptions!$F$183*IF((Assumptions!I$204-Account_Register!$W$24)&lt;6,1.35,1))*IF(MOD(Assumptions!I$204-Account_Register!$W$24,12)=0,Assumptions!$C$137,1)))</f>
        <v>0</v>
      </c>
      <c r="J26" s="65" t="n">
        <f aca="false">IF(Assumptions!J$204&lt;Account_Register!$W$24,0,IF(Assumptions!J$204=Account_Register!$W$24,Account_Register!$J$24*Account_Register!$V$24,I26*(1+Account_Register!$M$24*Assumptions!$F$183*IF((Assumptions!J$204-Account_Register!$W$24)&lt;6,1.35,1))*IF(MOD(Assumptions!J$204-Account_Register!$W$24,12)=0,Assumptions!$C$137,1)))</f>
        <v>0</v>
      </c>
      <c r="K26" s="65" t="n">
        <f aca="false">IF(Assumptions!K$204&lt;Account_Register!$W$24,0,IF(Assumptions!K$204=Account_Register!$W$24,Account_Register!$J$24*Account_Register!$V$24,J26*(1+Account_Register!$M$24*Assumptions!$F$183*IF((Assumptions!K$204-Account_Register!$W$24)&lt;6,1.35,1))*IF(MOD(Assumptions!K$204-Account_Register!$W$24,12)=0,Assumptions!$C$137,1)))</f>
        <v>0</v>
      </c>
      <c r="L26" s="65" t="n">
        <f aca="false">IF(Assumptions!L$204&lt;Account_Register!$W$24,0,IF(Assumptions!L$204=Account_Register!$W$24,Account_Register!$J$24*Account_Register!$V$24,K26*(1+Account_Register!$M$24*Assumptions!$F$183*IF((Assumptions!L$204-Account_Register!$W$24)&lt;6,1.35,1))*IF(MOD(Assumptions!L$204-Account_Register!$W$24,12)=0,Assumptions!$C$137,1)))</f>
        <v>0</v>
      </c>
      <c r="M26" s="65" t="n">
        <f aca="false">IF(Assumptions!M$204&lt;Account_Register!$W$24,0,IF(Assumptions!M$204=Account_Register!$W$24,Account_Register!$J$24*Account_Register!$V$24,L26*(1+Account_Register!$M$24*Assumptions!$F$183*IF((Assumptions!M$204-Account_Register!$W$24)&lt;6,1.35,1))*IF(MOD(Assumptions!M$204-Account_Register!$W$24,12)=0,Assumptions!$C$137,1)))</f>
        <v>0</v>
      </c>
      <c r="N26" s="65" t="n">
        <f aca="false">IF(Assumptions!N$204&lt;Account_Register!$W$24,0,IF(Assumptions!N$204=Account_Register!$W$24,Account_Register!$J$24*Account_Register!$V$24,M26*(1+Account_Register!$M$24*Assumptions!$F$183*IF((Assumptions!N$204-Account_Register!$W$24)&lt;6,1.35,1))*IF(MOD(Assumptions!N$204-Account_Register!$W$24,12)=0,Assumptions!$C$137,1)))</f>
        <v>0</v>
      </c>
      <c r="O26" s="65" t="n">
        <f aca="false">IF(Assumptions!O$204&lt;Account_Register!$W$24,0,IF(Assumptions!O$204=Account_Register!$W$24,Account_Register!$J$24*Account_Register!$V$24,N26*(1+Account_Register!$M$24*Assumptions!$F$183*IF((Assumptions!O$204-Account_Register!$W$24)&lt;6,1.35,1))*IF(MOD(Assumptions!O$204-Account_Register!$W$24,12)=0,Assumptions!$C$137,1)))</f>
        <v>0</v>
      </c>
      <c r="P26" s="65" t="n">
        <f aca="false">IF(Assumptions!P$204&lt;Account_Register!$W$24,0,IF(Assumptions!P$204=Account_Register!$W$24,Account_Register!$J$24*Account_Register!$V$24,O26*(1+Account_Register!$M$24*Assumptions!$F$183*IF((Assumptions!P$204-Account_Register!$W$24)&lt;6,1.35,1))*IF(MOD(Assumptions!P$204-Account_Register!$W$24,12)=0,Assumptions!$C$137,1)))</f>
        <v>0</v>
      </c>
      <c r="Q26" s="65" t="n">
        <f aca="false">IF(Assumptions!Q$204&lt;Account_Register!$W$24,0,IF(Assumptions!Q$204=Account_Register!$W$24,Account_Register!$J$24*Account_Register!$V$24,P26*(1+Account_Register!$M$24*Assumptions!$F$183*IF((Assumptions!Q$204-Account_Register!$W$24)&lt;6,1.35,1))*IF(MOD(Assumptions!Q$204-Account_Register!$W$24,12)=0,Assumptions!$C$137,1)))</f>
        <v>0</v>
      </c>
      <c r="R26" s="65" t="n">
        <f aca="false">IF(Assumptions!R$204&lt;Account_Register!$W$24,0,IF(Assumptions!R$204=Account_Register!$W$24,Account_Register!$J$24*Account_Register!$V$24,Q26*(1+Account_Register!$M$24*Assumptions!$F$183*IF((Assumptions!R$204-Account_Register!$W$24)&lt;6,1.35,1))*IF(MOD(Assumptions!R$204-Account_Register!$W$24,12)=0,Assumptions!$C$137,1)))</f>
        <v>7560</v>
      </c>
      <c r="S26" s="65" t="n">
        <f aca="false">IF(Assumptions!S$204&lt;Account_Register!$W$24,0,IF(Assumptions!S$204=Account_Register!$W$24,Account_Register!$J$24*Account_Register!$V$24,R26*(1+Account_Register!$M$24*Assumptions!$F$183*IF((Assumptions!S$204-Account_Register!$W$24)&lt;6,1.35,1))*IF(MOD(Assumptions!S$204-Account_Register!$W$24,12)=0,Assumptions!$C$137,1)))</f>
        <v>7866.18</v>
      </c>
      <c r="T26" s="65" t="n">
        <f aca="false">IF(Assumptions!T$204&lt;Account_Register!$W$24,0,IF(Assumptions!T$204=Account_Register!$W$24,Account_Register!$J$24*Account_Register!$V$24,S26*(1+Account_Register!$M$24*Assumptions!$F$183*IF((Assumptions!T$204-Account_Register!$W$24)&lt;6,1.35,1))*IF(MOD(Assumptions!T$204-Account_Register!$W$24,12)=0,Assumptions!$C$137,1)))</f>
        <v>8184.76029</v>
      </c>
      <c r="U26" s="65" t="n">
        <f aca="false">IF(Assumptions!U$204&lt;Account_Register!$W$24,0,IF(Assumptions!U$204=Account_Register!$W$24,Account_Register!$J$24*Account_Register!$V$24,T26*(1+Account_Register!$M$24*Assumptions!$F$183*IF((Assumptions!U$204-Account_Register!$W$24)&lt;6,1.35,1))*IF(MOD(Assumptions!U$204-Account_Register!$W$24,12)=0,Assumptions!$C$137,1)))</f>
        <v>8516.243081745</v>
      </c>
      <c r="V26" s="65" t="n">
        <f aca="false">IF(Assumptions!V$204&lt;Account_Register!$W$24,0,IF(Assumptions!V$204=Account_Register!$W$24,Account_Register!$J$24*Account_Register!$V$24,U26*(1+Account_Register!$M$24*Assumptions!$F$183*IF((Assumptions!V$204-Account_Register!$W$24)&lt;6,1.35,1))*IF(MOD(Assumptions!V$204-Account_Register!$W$24,12)=0,Assumptions!$C$137,1)))</f>
        <v>8861.15092655567</v>
      </c>
      <c r="W26" s="65" t="n">
        <f aca="false">IF(Assumptions!W$204&lt;Account_Register!$W$24,0,IF(Assumptions!W$204=Account_Register!$W$24,Account_Register!$J$24*Account_Register!$V$24,V26*(1+Account_Register!$M$24*Assumptions!$F$183*IF((Assumptions!W$204-Account_Register!$W$24)&lt;6,1.35,1))*IF(MOD(Assumptions!W$204-Account_Register!$W$24,12)=0,Assumptions!$C$137,1)))</f>
        <v>9220.02753908118</v>
      </c>
      <c r="X26" s="65" t="n">
        <f aca="false">IF(Assumptions!X$204&lt;Account_Register!$W$24,0,IF(Assumptions!X$204=Account_Register!$W$24,Account_Register!$J$24*Account_Register!$V$24,W26*(1+Account_Register!$M$24*Assumptions!$F$183*IF((Assumptions!X$204-Account_Register!$W$24)&lt;6,1.35,1))*IF(MOD(Assumptions!X$204-Account_Register!$W$24,12)=0,Assumptions!$C$137,1)))</f>
        <v>9496.62836525361</v>
      </c>
      <c r="Y26" s="65" t="n">
        <f aca="false">IF(Assumptions!Y$204&lt;Account_Register!$W$24,0,IF(Assumptions!Y$204=Account_Register!$W$24,Account_Register!$J$24*Account_Register!$V$24,X26*(1+Account_Register!$M$24*Assumptions!$F$183*IF((Assumptions!Y$204-Account_Register!$W$24)&lt;6,1.35,1))*IF(MOD(Assumptions!Y$204-Account_Register!$W$24,12)=0,Assumptions!$C$137,1)))</f>
        <v>9781.52721621122</v>
      </c>
      <c r="Z26" s="65" t="n">
        <f aca="false">IF(Assumptions!Z$204&lt;Account_Register!$W$24,0,IF(Assumptions!Z$204=Account_Register!$W$24,Account_Register!$J$24*Account_Register!$V$24,Y26*(1+Account_Register!$M$24*Assumptions!$F$183*IF((Assumptions!Z$204-Account_Register!$W$24)&lt;6,1.35,1))*IF(MOD(Assumptions!Z$204-Account_Register!$W$24,12)=0,Assumptions!$C$137,1)))</f>
        <v>10074.9730326976</v>
      </c>
      <c r="AA26" s="65" t="n">
        <f aca="false">IF(Assumptions!AA$204&lt;Account_Register!$W$24,0,IF(Assumptions!AA$204=Account_Register!$W$24,Account_Register!$J$24*Account_Register!$V$24,Z26*(1+Account_Register!$M$24*Assumptions!$F$183*IF((Assumptions!AA$204-Account_Register!$W$24)&lt;6,1.35,1))*IF(MOD(Assumptions!AA$204-Account_Register!$W$24,12)=0,Assumptions!$C$137,1)))</f>
        <v>10377.2222236785</v>
      </c>
      <c r="AB26" s="65" t="n">
        <f aca="false">IF(Assumptions!AB$204&lt;Account_Register!$W$24,0,IF(Assumptions!AB$204=Account_Register!$W$24,Account_Register!$J$24*Account_Register!$V$24,AA26*(1+Account_Register!$M$24*Assumptions!$F$183*IF((Assumptions!AB$204-Account_Register!$W$24)&lt;6,1.35,1))*IF(MOD(Assumptions!AB$204-Account_Register!$W$24,12)=0,Assumptions!$C$137,1)))</f>
        <v>10688.5388903888</v>
      </c>
    </row>
    <row r="27" customFormat="false" ht="15" hidden="false" customHeight="false" outlineLevel="0" collapsed="false">
      <c r="A27" s="28" t="s">
        <v>910</v>
      </c>
      <c r="B27" s="62" t="s">
        <v>907</v>
      </c>
      <c r="C27" s="64" t="n">
        <f aca="false">SUM(E27:P27)</f>
        <v>0</v>
      </c>
      <c r="D27" s="64" t="n">
        <f aca="false">SUM(Q27:AB27)</f>
        <v>48181.4532188693</v>
      </c>
      <c r="E27" s="65" t="n">
        <f aca="false">IF(Assumptions!E$204&lt;Account_Register!$W$25,0,IF(Assumptions!E$204=Account_Register!$W$25,Account_Register!$J$25*Account_Register!$V$25,0*(1+Account_Register!$M$25*Assumptions!$F$183*IF((Assumptions!E$204-Account_Register!$W$25)&lt;6,1.35,1))*IF(MOD(Assumptions!E$204-Account_Register!$W$25,12)=0,Assumptions!$C$137,1)))</f>
        <v>0</v>
      </c>
      <c r="F27" s="65" t="n">
        <f aca="false">IF(Assumptions!F$204&lt;Account_Register!$W$25,0,IF(Assumptions!F$204=Account_Register!$W$25,Account_Register!$J$25*Account_Register!$V$25,E27*(1+Account_Register!$M$25*Assumptions!$F$183*IF((Assumptions!F$204-Account_Register!$W$25)&lt;6,1.35,1))*IF(MOD(Assumptions!F$204-Account_Register!$W$25,12)=0,Assumptions!$C$137,1)))</f>
        <v>0</v>
      </c>
      <c r="G27" s="65" t="n">
        <f aca="false">IF(Assumptions!G$204&lt;Account_Register!$W$25,0,IF(Assumptions!G$204=Account_Register!$W$25,Account_Register!$J$25*Account_Register!$V$25,F27*(1+Account_Register!$M$25*Assumptions!$F$183*IF((Assumptions!G$204-Account_Register!$W$25)&lt;6,1.35,1))*IF(MOD(Assumptions!G$204-Account_Register!$W$25,12)=0,Assumptions!$C$137,1)))</f>
        <v>0</v>
      </c>
      <c r="H27" s="65" t="n">
        <f aca="false">IF(Assumptions!H$204&lt;Account_Register!$W$25,0,IF(Assumptions!H$204=Account_Register!$W$25,Account_Register!$J$25*Account_Register!$V$25,G27*(1+Account_Register!$M$25*Assumptions!$F$183*IF((Assumptions!H$204-Account_Register!$W$25)&lt;6,1.35,1))*IF(MOD(Assumptions!H$204-Account_Register!$W$25,12)=0,Assumptions!$C$137,1)))</f>
        <v>0</v>
      </c>
      <c r="I27" s="65" t="n">
        <f aca="false">IF(Assumptions!I$204&lt;Account_Register!$W$25,0,IF(Assumptions!I$204=Account_Register!$W$25,Account_Register!$J$25*Account_Register!$V$25,H27*(1+Account_Register!$M$25*Assumptions!$F$183*IF((Assumptions!I$204-Account_Register!$W$25)&lt;6,1.35,1))*IF(MOD(Assumptions!I$204-Account_Register!$W$25,12)=0,Assumptions!$C$137,1)))</f>
        <v>0</v>
      </c>
      <c r="J27" s="65" t="n">
        <f aca="false">IF(Assumptions!J$204&lt;Account_Register!$W$25,0,IF(Assumptions!J$204=Account_Register!$W$25,Account_Register!$J$25*Account_Register!$V$25,I27*(1+Account_Register!$M$25*Assumptions!$F$183*IF((Assumptions!J$204-Account_Register!$W$25)&lt;6,1.35,1))*IF(MOD(Assumptions!J$204-Account_Register!$W$25,12)=0,Assumptions!$C$137,1)))</f>
        <v>0</v>
      </c>
      <c r="K27" s="65" t="n">
        <f aca="false">IF(Assumptions!K$204&lt;Account_Register!$W$25,0,IF(Assumptions!K$204=Account_Register!$W$25,Account_Register!$J$25*Account_Register!$V$25,J27*(1+Account_Register!$M$25*Assumptions!$F$183*IF((Assumptions!K$204-Account_Register!$W$25)&lt;6,1.35,1))*IF(MOD(Assumptions!K$204-Account_Register!$W$25,12)=0,Assumptions!$C$137,1)))</f>
        <v>0</v>
      </c>
      <c r="L27" s="65" t="n">
        <f aca="false">IF(Assumptions!L$204&lt;Account_Register!$W$25,0,IF(Assumptions!L$204=Account_Register!$W$25,Account_Register!$J$25*Account_Register!$V$25,K27*(1+Account_Register!$M$25*Assumptions!$F$183*IF((Assumptions!L$204-Account_Register!$W$25)&lt;6,1.35,1))*IF(MOD(Assumptions!L$204-Account_Register!$W$25,12)=0,Assumptions!$C$137,1)))</f>
        <v>0</v>
      </c>
      <c r="M27" s="65" t="n">
        <f aca="false">IF(Assumptions!M$204&lt;Account_Register!$W$25,0,IF(Assumptions!M$204=Account_Register!$W$25,Account_Register!$J$25*Account_Register!$V$25,L27*(1+Account_Register!$M$25*Assumptions!$F$183*IF((Assumptions!M$204-Account_Register!$W$25)&lt;6,1.35,1))*IF(MOD(Assumptions!M$204-Account_Register!$W$25,12)=0,Assumptions!$C$137,1)))</f>
        <v>0</v>
      </c>
      <c r="N27" s="65" t="n">
        <f aca="false">IF(Assumptions!N$204&lt;Account_Register!$W$25,0,IF(Assumptions!N$204=Account_Register!$W$25,Account_Register!$J$25*Account_Register!$V$25,M27*(1+Account_Register!$M$25*Assumptions!$F$183*IF((Assumptions!N$204-Account_Register!$W$25)&lt;6,1.35,1))*IF(MOD(Assumptions!N$204-Account_Register!$W$25,12)=0,Assumptions!$C$137,1)))</f>
        <v>0</v>
      </c>
      <c r="O27" s="65" t="n">
        <f aca="false">IF(Assumptions!O$204&lt;Account_Register!$W$25,0,IF(Assumptions!O$204=Account_Register!$W$25,Account_Register!$J$25*Account_Register!$V$25,N27*(1+Account_Register!$M$25*Assumptions!$F$183*IF((Assumptions!O$204-Account_Register!$W$25)&lt;6,1.35,1))*IF(MOD(Assumptions!O$204-Account_Register!$W$25,12)=0,Assumptions!$C$137,1)))</f>
        <v>0</v>
      </c>
      <c r="P27" s="65" t="n">
        <f aca="false">IF(Assumptions!P$204&lt;Account_Register!$W$25,0,IF(Assumptions!P$204=Account_Register!$W$25,Account_Register!$J$25*Account_Register!$V$25,O27*(1+Account_Register!$M$25*Assumptions!$F$183*IF((Assumptions!P$204-Account_Register!$W$25)&lt;6,1.35,1))*IF(MOD(Assumptions!P$204-Account_Register!$W$25,12)=0,Assumptions!$C$137,1)))</f>
        <v>0</v>
      </c>
      <c r="Q27" s="65" t="n">
        <f aca="false">IF(Assumptions!Q$204&lt;Account_Register!$W$25,0,IF(Assumptions!Q$204=Account_Register!$W$25,Account_Register!$J$25*Account_Register!$V$25,P27*(1+Account_Register!$M$25*Assumptions!$F$183*IF((Assumptions!Q$204-Account_Register!$W$25)&lt;6,1.35,1))*IF(MOD(Assumptions!Q$204-Account_Register!$W$25,12)=0,Assumptions!$C$137,1)))</f>
        <v>0</v>
      </c>
      <c r="R27" s="65" t="n">
        <f aca="false">IF(Assumptions!R$204&lt;Account_Register!$W$25,0,IF(Assumptions!R$204=Account_Register!$W$25,Account_Register!$J$25*Account_Register!$V$25,Q27*(1+Account_Register!$M$25*Assumptions!$F$183*IF((Assumptions!R$204-Account_Register!$W$25)&lt;6,1.35,1))*IF(MOD(Assumptions!R$204-Account_Register!$W$25,12)=0,Assumptions!$C$137,1)))</f>
        <v>0</v>
      </c>
      <c r="S27" s="65" t="n">
        <f aca="false">IF(Assumptions!S$204&lt;Account_Register!$W$25,0,IF(Assumptions!S$204=Account_Register!$W$25,Account_Register!$J$25*Account_Register!$V$25,R27*(1+Account_Register!$M$25*Assumptions!$F$183*IF((Assumptions!S$204-Account_Register!$W$25)&lt;6,1.35,1))*IF(MOD(Assumptions!S$204-Account_Register!$W$25,12)=0,Assumptions!$C$137,1)))</f>
        <v>4050</v>
      </c>
      <c r="T27" s="65" t="n">
        <f aca="false">IF(Assumptions!T$204&lt;Account_Register!$W$25,0,IF(Assumptions!T$204=Account_Register!$W$25,Account_Register!$J$25*Account_Register!$V$25,S27*(1+Account_Register!$M$25*Assumptions!$F$183*IF((Assumptions!T$204-Account_Register!$W$25)&lt;6,1.35,1))*IF(MOD(Assumptions!T$204-Account_Register!$W$25,12)=0,Assumptions!$C$137,1)))</f>
        <v>4214.025</v>
      </c>
      <c r="U27" s="65" t="n">
        <f aca="false">IF(Assumptions!U$204&lt;Account_Register!$W$25,0,IF(Assumptions!U$204=Account_Register!$W$25,Account_Register!$J$25*Account_Register!$V$25,T27*(1+Account_Register!$M$25*Assumptions!$F$183*IF((Assumptions!U$204-Account_Register!$W$25)&lt;6,1.35,1))*IF(MOD(Assumptions!U$204-Account_Register!$W$25,12)=0,Assumptions!$C$137,1)))</f>
        <v>4384.6930125</v>
      </c>
      <c r="V27" s="65" t="n">
        <f aca="false">IF(Assumptions!V$204&lt;Account_Register!$W$25,0,IF(Assumptions!V$204=Account_Register!$W$25,Account_Register!$J$25*Account_Register!$V$25,U27*(1+Account_Register!$M$25*Assumptions!$F$183*IF((Assumptions!V$204-Account_Register!$W$25)&lt;6,1.35,1))*IF(MOD(Assumptions!V$204-Account_Register!$W$25,12)=0,Assumptions!$C$137,1)))</f>
        <v>4562.27307950625</v>
      </c>
      <c r="W27" s="65" t="n">
        <f aca="false">IF(Assumptions!W$204&lt;Account_Register!$W$25,0,IF(Assumptions!W$204=Account_Register!$W$25,Account_Register!$J$25*Account_Register!$V$25,V27*(1+Account_Register!$M$25*Assumptions!$F$183*IF((Assumptions!W$204-Account_Register!$W$25)&lt;6,1.35,1))*IF(MOD(Assumptions!W$204-Account_Register!$W$25,12)=0,Assumptions!$C$137,1)))</f>
        <v>4747.04513922625</v>
      </c>
      <c r="X27" s="65" t="n">
        <f aca="false">IF(Assumptions!X$204&lt;Account_Register!$W$25,0,IF(Assumptions!X$204=Account_Register!$W$25,Account_Register!$J$25*Account_Register!$V$25,W27*(1+Account_Register!$M$25*Assumptions!$F$183*IF((Assumptions!X$204-Account_Register!$W$25)&lt;6,1.35,1))*IF(MOD(Assumptions!X$204-Account_Register!$W$25,12)=0,Assumptions!$C$137,1)))</f>
        <v>4939.30046736492</v>
      </c>
      <c r="Y27" s="65" t="n">
        <f aca="false">IF(Assumptions!Y$204&lt;Account_Register!$W$25,0,IF(Assumptions!Y$204=Account_Register!$W$25,Account_Register!$J$25*Account_Register!$V$25,X27*(1+Account_Register!$M$25*Assumptions!$F$183*IF((Assumptions!Y$204-Account_Register!$W$25)&lt;6,1.35,1))*IF(MOD(Assumptions!Y$204-Account_Register!$W$25,12)=0,Assumptions!$C$137,1)))</f>
        <v>5087.47948138586</v>
      </c>
      <c r="Z27" s="65" t="n">
        <f aca="false">IF(Assumptions!Z$204&lt;Account_Register!$W$25,0,IF(Assumptions!Z$204=Account_Register!$W$25,Account_Register!$J$25*Account_Register!$V$25,Y27*(1+Account_Register!$M$25*Assumptions!$F$183*IF((Assumptions!Z$204-Account_Register!$W$25)&lt;6,1.35,1))*IF(MOD(Assumptions!Z$204-Account_Register!$W$25,12)=0,Assumptions!$C$137,1)))</f>
        <v>5240.10386582744</v>
      </c>
      <c r="AA27" s="65" t="n">
        <f aca="false">IF(Assumptions!AA$204&lt;Account_Register!$W$25,0,IF(Assumptions!AA$204=Account_Register!$W$25,Account_Register!$J$25*Account_Register!$V$25,Z27*(1+Account_Register!$M$25*Assumptions!$F$183*IF((Assumptions!AA$204-Account_Register!$W$25)&lt;6,1.35,1))*IF(MOD(Assumptions!AA$204-Account_Register!$W$25,12)=0,Assumptions!$C$137,1)))</f>
        <v>5397.30698180226</v>
      </c>
      <c r="AB27" s="65" t="n">
        <f aca="false">IF(Assumptions!AB$204&lt;Account_Register!$W$25,0,IF(Assumptions!AB$204=Account_Register!$W$25,Account_Register!$J$25*Account_Register!$V$25,AA27*(1+Account_Register!$M$25*Assumptions!$F$183*IF((Assumptions!AB$204-Account_Register!$W$25)&lt;6,1.35,1))*IF(MOD(Assumptions!AB$204-Account_Register!$W$25,12)=0,Assumptions!$C$137,1)))</f>
        <v>5559.22619125633</v>
      </c>
    </row>
    <row r="28" customFormat="false" ht="15" hidden="false" customHeight="false" outlineLevel="0" collapsed="false">
      <c r="A28" s="28" t="s">
        <v>911</v>
      </c>
      <c r="B28" s="62" t="s">
        <v>907</v>
      </c>
      <c r="C28" s="64" t="n">
        <f aca="false">SUM(E28:P28)</f>
        <v>0</v>
      </c>
      <c r="D28" s="64" t="n">
        <f aca="false">SUM(Q28:AB28)</f>
        <v>55837.3800687161</v>
      </c>
      <c r="E28" s="65" t="n">
        <f aca="false">IF(Assumptions!E$204&lt;Account_Register!$W$26,0,IF(Assumptions!E$204=Account_Register!$W$26,Account_Register!$J$26*Account_Register!$V$26,0*(1+Account_Register!$M$26*Assumptions!$F$183*IF((Assumptions!E$204-Account_Register!$W$26)&lt;6,1.35,1))*IF(MOD(Assumptions!E$204-Account_Register!$W$26,12)=0,Assumptions!$C$137,1)))</f>
        <v>0</v>
      </c>
      <c r="F28" s="65" t="n">
        <f aca="false">IF(Assumptions!F$204&lt;Account_Register!$W$26,0,IF(Assumptions!F$204=Account_Register!$W$26,Account_Register!$J$26*Account_Register!$V$26,E28*(1+Account_Register!$M$26*Assumptions!$F$183*IF((Assumptions!F$204-Account_Register!$W$26)&lt;6,1.35,1))*IF(MOD(Assumptions!F$204-Account_Register!$W$26,12)=0,Assumptions!$C$137,1)))</f>
        <v>0</v>
      </c>
      <c r="G28" s="65" t="n">
        <f aca="false">IF(Assumptions!G$204&lt;Account_Register!$W$26,0,IF(Assumptions!G$204=Account_Register!$W$26,Account_Register!$J$26*Account_Register!$V$26,F28*(1+Account_Register!$M$26*Assumptions!$F$183*IF((Assumptions!G$204-Account_Register!$W$26)&lt;6,1.35,1))*IF(MOD(Assumptions!G$204-Account_Register!$W$26,12)=0,Assumptions!$C$137,1)))</f>
        <v>0</v>
      </c>
      <c r="H28" s="65" t="n">
        <f aca="false">IF(Assumptions!H$204&lt;Account_Register!$W$26,0,IF(Assumptions!H$204=Account_Register!$W$26,Account_Register!$J$26*Account_Register!$V$26,G28*(1+Account_Register!$M$26*Assumptions!$F$183*IF((Assumptions!H$204-Account_Register!$W$26)&lt;6,1.35,1))*IF(MOD(Assumptions!H$204-Account_Register!$W$26,12)=0,Assumptions!$C$137,1)))</f>
        <v>0</v>
      </c>
      <c r="I28" s="65" t="n">
        <f aca="false">IF(Assumptions!I$204&lt;Account_Register!$W$26,0,IF(Assumptions!I$204=Account_Register!$W$26,Account_Register!$J$26*Account_Register!$V$26,H28*(1+Account_Register!$M$26*Assumptions!$F$183*IF((Assumptions!I$204-Account_Register!$W$26)&lt;6,1.35,1))*IF(MOD(Assumptions!I$204-Account_Register!$W$26,12)=0,Assumptions!$C$137,1)))</f>
        <v>0</v>
      </c>
      <c r="J28" s="65" t="n">
        <f aca="false">IF(Assumptions!J$204&lt;Account_Register!$W$26,0,IF(Assumptions!J$204=Account_Register!$W$26,Account_Register!$J$26*Account_Register!$V$26,I28*(1+Account_Register!$M$26*Assumptions!$F$183*IF((Assumptions!J$204-Account_Register!$W$26)&lt;6,1.35,1))*IF(MOD(Assumptions!J$204-Account_Register!$W$26,12)=0,Assumptions!$C$137,1)))</f>
        <v>0</v>
      </c>
      <c r="K28" s="65" t="n">
        <f aca="false">IF(Assumptions!K$204&lt;Account_Register!$W$26,0,IF(Assumptions!K$204=Account_Register!$W$26,Account_Register!$J$26*Account_Register!$V$26,J28*(1+Account_Register!$M$26*Assumptions!$F$183*IF((Assumptions!K$204-Account_Register!$W$26)&lt;6,1.35,1))*IF(MOD(Assumptions!K$204-Account_Register!$W$26,12)=0,Assumptions!$C$137,1)))</f>
        <v>0</v>
      </c>
      <c r="L28" s="65" t="n">
        <f aca="false">IF(Assumptions!L$204&lt;Account_Register!$W$26,0,IF(Assumptions!L$204=Account_Register!$W$26,Account_Register!$J$26*Account_Register!$V$26,K28*(1+Account_Register!$M$26*Assumptions!$F$183*IF((Assumptions!L$204-Account_Register!$W$26)&lt;6,1.35,1))*IF(MOD(Assumptions!L$204-Account_Register!$W$26,12)=0,Assumptions!$C$137,1)))</f>
        <v>0</v>
      </c>
      <c r="M28" s="65" t="n">
        <f aca="false">IF(Assumptions!M$204&lt;Account_Register!$W$26,0,IF(Assumptions!M$204=Account_Register!$W$26,Account_Register!$J$26*Account_Register!$V$26,L28*(1+Account_Register!$M$26*Assumptions!$F$183*IF((Assumptions!M$204-Account_Register!$W$26)&lt;6,1.35,1))*IF(MOD(Assumptions!M$204-Account_Register!$W$26,12)=0,Assumptions!$C$137,1)))</f>
        <v>0</v>
      </c>
      <c r="N28" s="65" t="n">
        <f aca="false">IF(Assumptions!N$204&lt;Account_Register!$W$26,0,IF(Assumptions!N$204=Account_Register!$W$26,Account_Register!$J$26*Account_Register!$V$26,M28*(1+Account_Register!$M$26*Assumptions!$F$183*IF((Assumptions!N$204-Account_Register!$W$26)&lt;6,1.35,1))*IF(MOD(Assumptions!N$204-Account_Register!$W$26,12)=0,Assumptions!$C$137,1)))</f>
        <v>0</v>
      </c>
      <c r="O28" s="65" t="n">
        <f aca="false">IF(Assumptions!O$204&lt;Account_Register!$W$26,0,IF(Assumptions!O$204=Account_Register!$W$26,Account_Register!$J$26*Account_Register!$V$26,N28*(1+Account_Register!$M$26*Assumptions!$F$183*IF((Assumptions!O$204-Account_Register!$W$26)&lt;6,1.35,1))*IF(MOD(Assumptions!O$204-Account_Register!$W$26,12)=0,Assumptions!$C$137,1)))</f>
        <v>0</v>
      </c>
      <c r="P28" s="65" t="n">
        <f aca="false">IF(Assumptions!P$204&lt;Account_Register!$W$26,0,IF(Assumptions!P$204=Account_Register!$W$26,Account_Register!$J$26*Account_Register!$V$26,O28*(1+Account_Register!$M$26*Assumptions!$F$183*IF((Assumptions!P$204-Account_Register!$W$26)&lt;6,1.35,1))*IF(MOD(Assumptions!P$204-Account_Register!$W$26,12)=0,Assumptions!$C$137,1)))</f>
        <v>0</v>
      </c>
      <c r="Q28" s="65" t="n">
        <f aca="false">IF(Assumptions!Q$204&lt;Account_Register!$W$26,0,IF(Assumptions!Q$204=Account_Register!$W$26,Account_Register!$J$26*Account_Register!$V$26,P28*(1+Account_Register!$M$26*Assumptions!$F$183*IF((Assumptions!Q$204-Account_Register!$W$26)&lt;6,1.35,1))*IF(MOD(Assumptions!Q$204-Account_Register!$W$26,12)=0,Assumptions!$C$137,1)))</f>
        <v>0</v>
      </c>
      <c r="R28" s="65" t="n">
        <f aca="false">IF(Assumptions!R$204&lt;Account_Register!$W$26,0,IF(Assumptions!R$204=Account_Register!$W$26,Account_Register!$J$26*Account_Register!$V$26,Q28*(1+Account_Register!$M$26*Assumptions!$F$183*IF((Assumptions!R$204-Account_Register!$W$26)&lt;6,1.35,1))*IF(MOD(Assumptions!R$204-Account_Register!$W$26,12)=0,Assumptions!$C$137,1)))</f>
        <v>0</v>
      </c>
      <c r="S28" s="65" t="n">
        <f aca="false">IF(Assumptions!S$204&lt;Account_Register!$W$26,0,IF(Assumptions!S$204=Account_Register!$W$26,Account_Register!$J$26*Account_Register!$V$26,R28*(1+Account_Register!$M$26*Assumptions!$F$183*IF((Assumptions!S$204-Account_Register!$W$26)&lt;6,1.35,1))*IF(MOD(Assumptions!S$204-Account_Register!$W$26,12)=0,Assumptions!$C$137,1)))</f>
        <v>0</v>
      </c>
      <c r="T28" s="65" t="n">
        <f aca="false">IF(Assumptions!T$204&lt;Account_Register!$W$26,0,IF(Assumptions!T$204=Account_Register!$W$26,Account_Register!$J$26*Account_Register!$V$26,S28*(1+Account_Register!$M$26*Assumptions!$F$183*IF((Assumptions!T$204-Account_Register!$W$26)&lt;6,1.35,1))*IF(MOD(Assumptions!T$204-Account_Register!$W$26,12)=0,Assumptions!$C$137,1)))</f>
        <v>0</v>
      </c>
      <c r="U28" s="65" t="n">
        <f aca="false">IF(Assumptions!U$204&lt;Account_Register!$W$26,0,IF(Assumptions!U$204=Account_Register!$W$26,Account_Register!$J$26*Account_Register!$V$26,T28*(1+Account_Register!$M$26*Assumptions!$F$183*IF((Assumptions!U$204-Account_Register!$W$26)&lt;6,1.35,1))*IF(MOD(Assumptions!U$204-Account_Register!$W$26,12)=0,Assumptions!$C$137,1)))</f>
        <v>6075</v>
      </c>
      <c r="V28" s="65" t="n">
        <f aca="false">IF(Assumptions!V$204&lt;Account_Register!$W$26,0,IF(Assumptions!V$204=Account_Register!$W$26,Account_Register!$J$26*Account_Register!$V$26,U28*(1+Account_Register!$M$26*Assumptions!$F$183*IF((Assumptions!V$204-Account_Register!$W$26)&lt;6,1.35,1))*IF(MOD(Assumptions!V$204-Account_Register!$W$26,12)=0,Assumptions!$C$137,1)))</f>
        <v>6321.0375</v>
      </c>
      <c r="W28" s="65" t="n">
        <f aca="false">IF(Assumptions!W$204&lt;Account_Register!$W$26,0,IF(Assumptions!W$204=Account_Register!$W$26,Account_Register!$J$26*Account_Register!$V$26,V28*(1+Account_Register!$M$26*Assumptions!$F$183*IF((Assumptions!W$204-Account_Register!$W$26)&lt;6,1.35,1))*IF(MOD(Assumptions!W$204-Account_Register!$W$26,12)=0,Assumptions!$C$137,1)))</f>
        <v>6577.03951875</v>
      </c>
      <c r="X28" s="65" t="n">
        <f aca="false">IF(Assumptions!X$204&lt;Account_Register!$W$26,0,IF(Assumptions!X$204=Account_Register!$W$26,Account_Register!$J$26*Account_Register!$V$26,W28*(1+Account_Register!$M$26*Assumptions!$F$183*IF((Assumptions!X$204-Account_Register!$W$26)&lt;6,1.35,1))*IF(MOD(Assumptions!X$204-Account_Register!$W$26,12)=0,Assumptions!$C$137,1)))</f>
        <v>6843.40961925937</v>
      </c>
      <c r="Y28" s="65" t="n">
        <f aca="false">IF(Assumptions!Y$204&lt;Account_Register!$W$26,0,IF(Assumptions!Y$204=Account_Register!$W$26,Account_Register!$J$26*Account_Register!$V$26,X28*(1+Account_Register!$M$26*Assumptions!$F$183*IF((Assumptions!Y$204-Account_Register!$W$26)&lt;6,1.35,1))*IF(MOD(Assumptions!Y$204-Account_Register!$W$26,12)=0,Assumptions!$C$137,1)))</f>
        <v>7120.56770883938</v>
      </c>
      <c r="Z28" s="65" t="n">
        <f aca="false">IF(Assumptions!Z$204&lt;Account_Register!$W$26,0,IF(Assumptions!Z$204=Account_Register!$W$26,Account_Register!$J$26*Account_Register!$V$26,Y28*(1+Account_Register!$M$26*Assumptions!$F$183*IF((Assumptions!Z$204-Account_Register!$W$26)&lt;6,1.35,1))*IF(MOD(Assumptions!Z$204-Account_Register!$W$26,12)=0,Assumptions!$C$137,1)))</f>
        <v>7408.95070104737</v>
      </c>
      <c r="AA28" s="65" t="n">
        <f aca="false">IF(Assumptions!AA$204&lt;Account_Register!$W$26,0,IF(Assumptions!AA$204=Account_Register!$W$26,Account_Register!$J$26*Account_Register!$V$26,Z28*(1+Account_Register!$M$26*Assumptions!$F$183*IF((Assumptions!AA$204-Account_Register!$W$26)&lt;6,1.35,1))*IF(MOD(Assumptions!AA$204-Account_Register!$W$26,12)=0,Assumptions!$C$137,1)))</f>
        <v>7631.21922207879</v>
      </c>
      <c r="AB28" s="65" t="n">
        <f aca="false">IF(Assumptions!AB$204&lt;Account_Register!$W$26,0,IF(Assumptions!AB$204=Account_Register!$W$26,Account_Register!$J$26*Account_Register!$V$26,AA28*(1+Account_Register!$M$26*Assumptions!$F$183*IF((Assumptions!AB$204-Account_Register!$W$26)&lt;6,1.35,1))*IF(MOD(Assumptions!AB$204-Account_Register!$W$26,12)=0,Assumptions!$C$137,1)))</f>
        <v>7860.15579874116</v>
      </c>
    </row>
    <row r="29" customFormat="false" ht="15" hidden="false" customHeight="false" outlineLevel="0" collapsed="false">
      <c r="A29" s="22" t="s">
        <v>912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913</v>
      </c>
      <c r="B30" s="62" t="s">
        <v>914</v>
      </c>
      <c r="C30" s="64" t="n">
        <f aca="false">P30</f>
        <v>380000</v>
      </c>
      <c r="D30" s="64" t="n">
        <f aca="false">AB30</f>
        <v>460000</v>
      </c>
      <c r="E30" s="65" t="n">
        <f aca="false">IF(E$5="A",Inputs_Actuals!E52,Account_Register!$I$7)</f>
        <v>350000</v>
      </c>
      <c r="F30" s="65" t="n">
        <f aca="false">IF(F$5="A",Inputs_Actuals!F52,E30)</f>
        <v>350000</v>
      </c>
      <c r="G30" s="65" t="n">
        <f aca="false">IF(G$5="A",Inputs_Actuals!G52,F30)</f>
        <v>350000</v>
      </c>
      <c r="H30" s="65" t="n">
        <f aca="false">IF(H$5="A",Inputs_Actuals!H52,G30)</f>
        <v>350000</v>
      </c>
      <c r="I30" s="65" t="n">
        <f aca="false">IF(I$5="A",Inputs_Actuals!I52,H30)</f>
        <v>350000</v>
      </c>
      <c r="J30" s="65" t="n">
        <f aca="false">IF(J$5="A",Inputs_Actuals!J52,Account_Register!$V$7*ROUND(MAX(I30*(1+Assumptions!$F$184),0.95*I51)/10000,0)*10000)</f>
        <v>380000</v>
      </c>
      <c r="K30" s="65" t="n">
        <f aca="false">IF(K$5="A",Inputs_Actuals!K52,J30)</f>
        <v>380000</v>
      </c>
      <c r="L30" s="65" t="n">
        <f aca="false">IF(L$5="A",Inputs_Actuals!L52,K30)</f>
        <v>380000</v>
      </c>
      <c r="M30" s="65" t="n">
        <f aca="false">IF(M$5="A",Inputs_Actuals!M52,L30)</f>
        <v>380000</v>
      </c>
      <c r="N30" s="65" t="n">
        <f aca="false">IF(N$5="A",Inputs_Actuals!N52,M30)</f>
        <v>380000</v>
      </c>
      <c r="O30" s="65" t="n">
        <f aca="false">IF(O$5="A",Inputs_Actuals!O52,N30)</f>
        <v>380000</v>
      </c>
      <c r="P30" s="65" t="n">
        <f aca="false">IF(P$5="A",Inputs_Actuals!P52,O30)</f>
        <v>380000</v>
      </c>
      <c r="Q30" s="65" t="n">
        <f aca="false">IF(Q$5="A",Inputs_Actuals!Q52,P30)</f>
        <v>380000</v>
      </c>
      <c r="R30" s="65" t="n">
        <f aca="false">IF(R$5="A",Inputs_Actuals!R52,Q30)</f>
        <v>380000</v>
      </c>
      <c r="S30" s="65" t="n">
        <f aca="false">IF(S$5="A",Inputs_Actuals!S52,R30)</f>
        <v>380000</v>
      </c>
      <c r="T30" s="65" t="n">
        <f aca="false">IF(T$5="A",Inputs_Actuals!T52,S30)</f>
        <v>380000</v>
      </c>
      <c r="U30" s="65" t="n">
        <f aca="false">IF(U$5="A",Inputs_Actuals!U52,T30)</f>
        <v>380000</v>
      </c>
      <c r="V30" s="65" t="n">
        <f aca="false">IF(V$5="A",Inputs_Actuals!V52,Account_Register!$V$7*ROUND(MAX(U30*(1+Assumptions!$F$184),0.95*U51)/10000,0)*10000)</f>
        <v>460000</v>
      </c>
      <c r="W30" s="65" t="n">
        <f aca="false">IF(W$5="A",Inputs_Actuals!W52,V30)</f>
        <v>460000</v>
      </c>
      <c r="X30" s="65" t="n">
        <f aca="false">IF(X$5="A",Inputs_Actuals!X52,W30)</f>
        <v>460000</v>
      </c>
      <c r="Y30" s="65" t="n">
        <f aca="false">IF(Y$5="A",Inputs_Actuals!Y52,X30)</f>
        <v>460000</v>
      </c>
      <c r="Z30" s="65" t="n">
        <f aca="false">IF(Z$5="A",Inputs_Actuals!Z52,Y30)</f>
        <v>460000</v>
      </c>
      <c r="AA30" s="65" t="n">
        <f aca="false">IF(AA$5="A",Inputs_Actuals!AA52,Z30)</f>
        <v>460000</v>
      </c>
      <c r="AB30" s="65" t="n">
        <f aca="false">IF(AB$5="A",Inputs_Actuals!AB52,AA30)</f>
        <v>460000</v>
      </c>
    </row>
    <row r="31" customFormat="false" ht="15" hidden="false" customHeight="false" outlineLevel="0" collapsed="false">
      <c r="A31" s="28" t="s">
        <v>915</v>
      </c>
      <c r="B31" s="62" t="s">
        <v>914</v>
      </c>
      <c r="C31" s="64" t="n">
        <f aca="false">P31</f>
        <v>270000</v>
      </c>
      <c r="D31" s="64" t="n">
        <f aca="false">AB31</f>
        <v>261000</v>
      </c>
      <c r="E31" s="65" t="n">
        <f aca="false">IF(E$5="A",Inputs_Actuals!E53,Account_Register!$I$8)</f>
        <v>280000</v>
      </c>
      <c r="F31" s="65" t="n">
        <f aca="false">IF(F$5="A",Inputs_Actuals!F53,E31)</f>
        <v>280000</v>
      </c>
      <c r="G31" s="65" t="n">
        <f aca="false">IF(G$5="A",Inputs_Actuals!G53,F31)</f>
        <v>280000</v>
      </c>
      <c r="H31" s="65" t="n">
        <f aca="false">IF(H$5="A",Inputs_Actuals!H53,G31)</f>
        <v>280000</v>
      </c>
      <c r="I31" s="65" t="n">
        <f aca="false">IF(I$5="A",Inputs_Actuals!I53,H31)</f>
        <v>280000</v>
      </c>
      <c r="J31" s="65" t="n">
        <f aca="false">IF(J$5="A",Inputs_Actuals!J53,I31)</f>
        <v>280000</v>
      </c>
      <c r="K31" s="65" t="n">
        <f aca="false">IF(K$5="A",Inputs_Actuals!K53,J31)</f>
        <v>280000</v>
      </c>
      <c r="L31" s="65" t="n">
        <f aca="false">IF(L$5="A",Inputs_Actuals!L53,K31)</f>
        <v>280000</v>
      </c>
      <c r="M31" s="65" t="n">
        <f aca="false">IF(M$5="A",Inputs_Actuals!M53,L31)</f>
        <v>280000</v>
      </c>
      <c r="N31" s="65" t="n">
        <f aca="false">IF(N$5="A",Inputs_Actuals!N53,Account_Register!$V$8*ROUND(MAX(M31*(1+Assumptions!$F$184),0.95*M52)/10000,0)*10000)</f>
        <v>270000</v>
      </c>
      <c r="O31" s="65" t="n">
        <f aca="false">IF(O$5="A",Inputs_Actuals!O53,N31)</f>
        <v>270000</v>
      </c>
      <c r="P31" s="65" t="n">
        <f aca="false">IF(P$5="A",Inputs_Actuals!P53,O31)</f>
        <v>270000</v>
      </c>
      <c r="Q31" s="65" t="n">
        <f aca="false">IF(Q$5="A",Inputs_Actuals!Q53,P31)</f>
        <v>270000</v>
      </c>
      <c r="R31" s="65" t="n">
        <f aca="false">IF(R$5="A",Inputs_Actuals!R53,Q31)</f>
        <v>270000</v>
      </c>
      <c r="S31" s="65" t="n">
        <f aca="false">IF(S$5="A",Inputs_Actuals!S53,R31)</f>
        <v>270000</v>
      </c>
      <c r="T31" s="65" t="n">
        <f aca="false">IF(T$5="A",Inputs_Actuals!T53,S31)</f>
        <v>270000</v>
      </c>
      <c r="U31" s="65" t="n">
        <f aca="false">IF(U$5="A",Inputs_Actuals!U53,T31)</f>
        <v>270000</v>
      </c>
      <c r="V31" s="65" t="n">
        <f aca="false">IF(V$5="A",Inputs_Actuals!V53,U31)</f>
        <v>270000</v>
      </c>
      <c r="W31" s="65" t="n">
        <f aca="false">IF(W$5="A",Inputs_Actuals!W53,V31)</f>
        <v>270000</v>
      </c>
      <c r="X31" s="65" t="n">
        <f aca="false">IF(X$5="A",Inputs_Actuals!X53,W31)</f>
        <v>270000</v>
      </c>
      <c r="Y31" s="65" t="n">
        <f aca="false">IF(Y$5="A",Inputs_Actuals!Y53,X31)</f>
        <v>270000</v>
      </c>
      <c r="Z31" s="65" t="n">
        <f aca="false">IF(Z$5="A",Inputs_Actuals!Z53,Account_Register!$V$8*ROUND(MAX(Y31*(1+Assumptions!$F$184),0.95*Y52)/10000,0)*10000)</f>
        <v>261000</v>
      </c>
      <c r="AA31" s="65" t="n">
        <f aca="false">IF(AA$5="A",Inputs_Actuals!AA53,Z31)</f>
        <v>261000</v>
      </c>
      <c r="AB31" s="65" t="n">
        <f aca="false">IF(AB$5="A",Inputs_Actuals!AB53,AA31)</f>
        <v>261000</v>
      </c>
    </row>
    <row r="32" customFormat="false" ht="15" hidden="false" customHeight="false" outlineLevel="0" collapsed="false">
      <c r="A32" s="28" t="s">
        <v>916</v>
      </c>
      <c r="B32" s="62" t="s">
        <v>914</v>
      </c>
      <c r="C32" s="64" t="n">
        <f aca="false">P32</f>
        <v>320000</v>
      </c>
      <c r="D32" s="64" t="n">
        <f aca="false">AB32</f>
        <v>342000</v>
      </c>
      <c r="E32" s="65" t="n">
        <f aca="false">IF(E$5="A",Inputs_Actuals!E54,Account_Register!$I$9)</f>
        <v>300000</v>
      </c>
      <c r="F32" s="65" t="n">
        <f aca="false">IF(F$5="A",Inputs_Actuals!F54,Account_Register!$V$9*ROUND(MAX(E32*(1+Assumptions!$F$184),0.95*E53)/10000,0)*10000)</f>
        <v>320000</v>
      </c>
      <c r="G32" s="65" t="n">
        <f aca="false">IF(G$5="A",Inputs_Actuals!G54,F32)</f>
        <v>320000</v>
      </c>
      <c r="H32" s="65" t="n">
        <f aca="false">IF(H$5="A",Inputs_Actuals!H54,G32)</f>
        <v>320000</v>
      </c>
      <c r="I32" s="65" t="n">
        <f aca="false">IF(I$5="A",Inputs_Actuals!I54,H32)</f>
        <v>320000</v>
      </c>
      <c r="J32" s="65" t="n">
        <f aca="false">IF(J$5="A",Inputs_Actuals!J54,I32)</f>
        <v>320000</v>
      </c>
      <c r="K32" s="65" t="n">
        <f aca="false">IF(K$5="A",Inputs_Actuals!K54,J32)</f>
        <v>320000</v>
      </c>
      <c r="L32" s="65" t="n">
        <f aca="false">IF(L$5="A",Inputs_Actuals!L54,K32)</f>
        <v>320000</v>
      </c>
      <c r="M32" s="65" t="n">
        <f aca="false">IF(M$5="A",Inputs_Actuals!M54,L32)</f>
        <v>320000</v>
      </c>
      <c r="N32" s="65" t="n">
        <f aca="false">IF(N$5="A",Inputs_Actuals!N54,M32)</f>
        <v>320000</v>
      </c>
      <c r="O32" s="65" t="n">
        <f aca="false">IF(O$5="A",Inputs_Actuals!O54,N32)</f>
        <v>320000</v>
      </c>
      <c r="P32" s="65" t="n">
        <f aca="false">IF(P$5="A",Inputs_Actuals!P54,O32)</f>
        <v>320000</v>
      </c>
      <c r="Q32" s="65" t="n">
        <f aca="false">IF(Q$5="A",Inputs_Actuals!Q54,P32)</f>
        <v>320000</v>
      </c>
      <c r="R32" s="65" t="n">
        <f aca="false">IF(R$5="A",Inputs_Actuals!R54,Account_Register!$V$9*ROUND(MAX(Q32*(1+Assumptions!$F$184),0.95*Q53)/10000,0)*10000)</f>
        <v>342000</v>
      </c>
      <c r="S32" s="65" t="n">
        <f aca="false">IF(S$5="A",Inputs_Actuals!S54,R32)</f>
        <v>342000</v>
      </c>
      <c r="T32" s="65" t="n">
        <f aca="false">IF(T$5="A",Inputs_Actuals!T54,S32)</f>
        <v>342000</v>
      </c>
      <c r="U32" s="65" t="n">
        <f aca="false">IF(U$5="A",Inputs_Actuals!U54,T32)</f>
        <v>342000</v>
      </c>
      <c r="V32" s="65" t="n">
        <f aca="false">IF(V$5="A",Inputs_Actuals!V54,U32)</f>
        <v>342000</v>
      </c>
      <c r="W32" s="65" t="n">
        <f aca="false">IF(W$5="A",Inputs_Actuals!W54,V32)</f>
        <v>342000</v>
      </c>
      <c r="X32" s="65" t="n">
        <f aca="false">IF(X$5="A",Inputs_Actuals!X54,W32)</f>
        <v>342000</v>
      </c>
      <c r="Y32" s="65" t="n">
        <f aca="false">IF(Y$5="A",Inputs_Actuals!Y54,X32)</f>
        <v>342000</v>
      </c>
      <c r="Z32" s="65" t="n">
        <f aca="false">IF(Z$5="A",Inputs_Actuals!Z54,Y32)</f>
        <v>342000</v>
      </c>
      <c r="AA32" s="65" t="n">
        <f aca="false">IF(AA$5="A",Inputs_Actuals!AA54,Z32)</f>
        <v>342000</v>
      </c>
      <c r="AB32" s="65" t="n">
        <f aca="false">IF(AB$5="A",Inputs_Actuals!AB54,AA32)</f>
        <v>342000</v>
      </c>
    </row>
    <row r="33" customFormat="false" ht="15" hidden="false" customHeight="false" outlineLevel="0" collapsed="false">
      <c r="A33" s="28" t="s">
        <v>917</v>
      </c>
      <c r="B33" s="62" t="s">
        <v>914</v>
      </c>
      <c r="C33" s="64" t="n">
        <f aca="false">P33</f>
        <v>210000</v>
      </c>
      <c r="D33" s="64" t="n">
        <f aca="false">AB33</f>
        <v>195500</v>
      </c>
      <c r="E33" s="65" t="n">
        <f aca="false">IF(E$5="A",Inputs_Actuals!E55,Account_Register!$I$10)</f>
        <v>190000</v>
      </c>
      <c r="F33" s="65" t="n">
        <f aca="false">IF(F$5="A",Inputs_Actuals!F55,E33)</f>
        <v>190000</v>
      </c>
      <c r="G33" s="65" t="n">
        <f aca="false">IF(G$5="A",Inputs_Actuals!G55,F33)</f>
        <v>190000</v>
      </c>
      <c r="H33" s="65" t="n">
        <f aca="false">IF(H$5="A",Inputs_Actuals!H55,Account_Register!$V$10*ROUND(MAX(G33*(1+Assumptions!$F$184),0.95*G54)/10000,0)*10000)</f>
        <v>210000</v>
      </c>
      <c r="I33" s="65" t="n">
        <f aca="false">IF(I$5="A",Inputs_Actuals!I55,H33)</f>
        <v>210000</v>
      </c>
      <c r="J33" s="65" t="n">
        <f aca="false">IF(J$5="A",Inputs_Actuals!J55,I33)</f>
        <v>210000</v>
      </c>
      <c r="K33" s="65" t="n">
        <f aca="false">IF(K$5="A",Inputs_Actuals!K55,J33)</f>
        <v>210000</v>
      </c>
      <c r="L33" s="65" t="n">
        <f aca="false">IF(L$5="A",Inputs_Actuals!L55,K33)</f>
        <v>210000</v>
      </c>
      <c r="M33" s="65" t="n">
        <f aca="false">IF(M$5="A",Inputs_Actuals!M55,L33)</f>
        <v>210000</v>
      </c>
      <c r="N33" s="65" t="n">
        <f aca="false">IF(N$5="A",Inputs_Actuals!N55,M33)</f>
        <v>210000</v>
      </c>
      <c r="O33" s="65" t="n">
        <f aca="false">IF(O$5="A",Inputs_Actuals!O55,N33)</f>
        <v>210000</v>
      </c>
      <c r="P33" s="65" t="n">
        <f aca="false">IF(P$5="A",Inputs_Actuals!P55,O33)</f>
        <v>210000</v>
      </c>
      <c r="Q33" s="65" t="n">
        <f aca="false">IF(Q$5="A",Inputs_Actuals!Q55,P33)</f>
        <v>210000</v>
      </c>
      <c r="R33" s="65" t="n">
        <f aca="false">IF(R$5="A",Inputs_Actuals!R55,Q33)</f>
        <v>210000</v>
      </c>
      <c r="S33" s="65" t="n">
        <f aca="false">IF(S$5="A",Inputs_Actuals!S55,R33)</f>
        <v>210000</v>
      </c>
      <c r="T33" s="65" t="n">
        <f aca="false">IF(T$5="A",Inputs_Actuals!T55,Account_Register!$V$10*ROUND(MAX(S33*(1+Assumptions!$F$184),0.95*S54)/10000,0)*10000)</f>
        <v>195500</v>
      </c>
      <c r="U33" s="65" t="n">
        <f aca="false">IF(U$5="A",Inputs_Actuals!U55,T33)</f>
        <v>195500</v>
      </c>
      <c r="V33" s="65" t="n">
        <f aca="false">IF(V$5="A",Inputs_Actuals!V55,U33)</f>
        <v>195500</v>
      </c>
      <c r="W33" s="65" t="n">
        <f aca="false">IF(W$5="A",Inputs_Actuals!W55,V33)</f>
        <v>195500</v>
      </c>
      <c r="X33" s="65" t="n">
        <f aca="false">IF(X$5="A",Inputs_Actuals!X55,W33)</f>
        <v>195500</v>
      </c>
      <c r="Y33" s="65" t="n">
        <f aca="false">IF(Y$5="A",Inputs_Actuals!Y55,X33)</f>
        <v>195500</v>
      </c>
      <c r="Z33" s="65" t="n">
        <f aca="false">IF(Z$5="A",Inputs_Actuals!Z55,Y33)</f>
        <v>195500</v>
      </c>
      <c r="AA33" s="65" t="n">
        <f aca="false">IF(AA$5="A",Inputs_Actuals!AA55,Z33)</f>
        <v>195500</v>
      </c>
      <c r="AB33" s="65" t="n">
        <f aca="false">IF(AB$5="A",Inputs_Actuals!AB55,AA33)</f>
        <v>195500</v>
      </c>
    </row>
    <row r="34" customFormat="false" ht="15" hidden="false" customHeight="false" outlineLevel="0" collapsed="false">
      <c r="A34" s="28" t="s">
        <v>918</v>
      </c>
      <c r="B34" s="62" t="s">
        <v>914</v>
      </c>
      <c r="C34" s="64" t="n">
        <f aca="false">P34</f>
        <v>260000</v>
      </c>
      <c r="D34" s="64" t="n">
        <f aca="false">AB34</f>
        <v>257600</v>
      </c>
      <c r="E34" s="65" t="n">
        <f aca="false">IF(E$5="A",Inputs_Actuals!E56,Account_Register!$I$11)</f>
        <v>240000</v>
      </c>
      <c r="F34" s="65" t="n">
        <f aca="false">IF(F$5="A",Inputs_Actuals!F56,E34)</f>
        <v>240000</v>
      </c>
      <c r="G34" s="65" t="n">
        <f aca="false">IF(G$5="A",Inputs_Actuals!G56,F34)</f>
        <v>240000</v>
      </c>
      <c r="H34" s="65" t="n">
        <f aca="false">IF(H$5="A",Inputs_Actuals!H56,G34)</f>
        <v>240000</v>
      </c>
      <c r="I34" s="65" t="n">
        <f aca="false">IF(I$5="A",Inputs_Actuals!I56,H34)</f>
        <v>240000</v>
      </c>
      <c r="J34" s="65" t="n">
        <f aca="false">IF(J$5="A",Inputs_Actuals!J56,I34)</f>
        <v>240000</v>
      </c>
      <c r="K34" s="65" t="n">
        <f aca="false">IF(K$5="A",Inputs_Actuals!K56,Account_Register!$V$11*ROUND(MAX(J34*(1+Assumptions!$F$184),0.95*J55)/10000,0)*10000)</f>
        <v>260000</v>
      </c>
      <c r="L34" s="65" t="n">
        <f aca="false">IF(L$5="A",Inputs_Actuals!L56,K34)</f>
        <v>260000</v>
      </c>
      <c r="M34" s="65" t="n">
        <f aca="false">IF(M$5="A",Inputs_Actuals!M56,L34)</f>
        <v>260000</v>
      </c>
      <c r="N34" s="65" t="n">
        <f aca="false">IF(N$5="A",Inputs_Actuals!N56,M34)</f>
        <v>260000</v>
      </c>
      <c r="O34" s="65" t="n">
        <f aca="false">IF(O$5="A",Inputs_Actuals!O56,N34)</f>
        <v>260000</v>
      </c>
      <c r="P34" s="65" t="n">
        <f aca="false">IF(P$5="A",Inputs_Actuals!P56,O34)</f>
        <v>260000</v>
      </c>
      <c r="Q34" s="65" t="n">
        <f aca="false">IF(Q$5="A",Inputs_Actuals!Q56,P34)</f>
        <v>260000</v>
      </c>
      <c r="R34" s="65" t="n">
        <f aca="false">IF(R$5="A",Inputs_Actuals!R56,Q34)</f>
        <v>260000</v>
      </c>
      <c r="S34" s="65" t="n">
        <f aca="false">IF(S$5="A",Inputs_Actuals!S56,R34)</f>
        <v>260000</v>
      </c>
      <c r="T34" s="65" t="n">
        <f aca="false">IF(T$5="A",Inputs_Actuals!T56,S34)</f>
        <v>260000</v>
      </c>
      <c r="U34" s="65" t="n">
        <f aca="false">IF(U$5="A",Inputs_Actuals!U56,T34)</f>
        <v>260000</v>
      </c>
      <c r="V34" s="65" t="n">
        <f aca="false">IF(V$5="A",Inputs_Actuals!V56,U34)</f>
        <v>260000</v>
      </c>
      <c r="W34" s="65" t="n">
        <f aca="false">IF(W$5="A",Inputs_Actuals!W56,Account_Register!$V$11*ROUND(MAX(V34*(1+Assumptions!$F$184),0.95*V55)/10000,0)*10000)</f>
        <v>257600</v>
      </c>
      <c r="X34" s="65" t="n">
        <f aca="false">IF(X$5="A",Inputs_Actuals!X56,W34)</f>
        <v>257600</v>
      </c>
      <c r="Y34" s="65" t="n">
        <f aca="false">IF(Y$5="A",Inputs_Actuals!Y56,X34)</f>
        <v>257600</v>
      </c>
      <c r="Z34" s="65" t="n">
        <f aca="false">IF(Z$5="A",Inputs_Actuals!Z56,Y34)</f>
        <v>257600</v>
      </c>
      <c r="AA34" s="65" t="n">
        <f aca="false">IF(AA$5="A",Inputs_Actuals!AA56,Z34)</f>
        <v>257600</v>
      </c>
      <c r="AB34" s="65" t="n">
        <f aca="false">IF(AB$5="A",Inputs_Actuals!AB56,AA34)</f>
        <v>257600</v>
      </c>
    </row>
    <row r="35" customFormat="false" ht="15" hidden="false" customHeight="false" outlineLevel="0" collapsed="false">
      <c r="A35" s="28" t="s">
        <v>919</v>
      </c>
      <c r="B35" s="62" t="s">
        <v>914</v>
      </c>
      <c r="C35" s="64" t="n">
        <f aca="false">P35</f>
        <v>216000</v>
      </c>
      <c r="D35" s="64" t="n">
        <f aca="false">AB35</f>
        <v>207000</v>
      </c>
      <c r="E35" s="65" t="n">
        <f aca="false">IF(E$5="A",Inputs_Actuals!E57,Account_Register!$I$12)</f>
        <v>220000</v>
      </c>
      <c r="F35" s="65" t="n">
        <f aca="false">IF(F$5="A",Inputs_Actuals!F57,E35)</f>
        <v>220000</v>
      </c>
      <c r="G35" s="65" t="n">
        <f aca="false">IF(G$5="A",Inputs_Actuals!G57,F35)</f>
        <v>220000</v>
      </c>
      <c r="H35" s="65" t="n">
        <f aca="false">IF(H$5="A",Inputs_Actuals!H57,G35)</f>
        <v>220000</v>
      </c>
      <c r="I35" s="65" t="n">
        <f aca="false">IF(I$5="A",Inputs_Actuals!I57,H35)</f>
        <v>220000</v>
      </c>
      <c r="J35" s="65" t="n">
        <f aca="false">IF(J$5="A",Inputs_Actuals!J57,I35)</f>
        <v>220000</v>
      </c>
      <c r="K35" s="65" t="n">
        <f aca="false">IF(K$5="A",Inputs_Actuals!K57,J35)</f>
        <v>220000</v>
      </c>
      <c r="L35" s="65" t="n">
        <f aca="false">IF(L$5="A",Inputs_Actuals!L57,K35)</f>
        <v>220000</v>
      </c>
      <c r="M35" s="65" t="n">
        <f aca="false">IF(M$5="A",Inputs_Actuals!M57,Account_Register!$V$12*ROUND(MAX(L35*(1+Assumptions!$F$184),0.95*L56)/10000,0)*10000)</f>
        <v>216000</v>
      </c>
      <c r="N35" s="65" t="n">
        <f aca="false">IF(N$5="A",Inputs_Actuals!N57,M35)</f>
        <v>216000</v>
      </c>
      <c r="O35" s="65" t="n">
        <f aca="false">IF(O$5="A",Inputs_Actuals!O57,N35)</f>
        <v>216000</v>
      </c>
      <c r="P35" s="65" t="n">
        <f aca="false">IF(P$5="A",Inputs_Actuals!P57,O35)</f>
        <v>216000</v>
      </c>
      <c r="Q35" s="65" t="n">
        <f aca="false">IF(Q$5="A",Inputs_Actuals!Q57,P35)</f>
        <v>216000</v>
      </c>
      <c r="R35" s="65" t="n">
        <f aca="false">IF(R$5="A",Inputs_Actuals!R57,Q35)</f>
        <v>216000</v>
      </c>
      <c r="S35" s="65" t="n">
        <f aca="false">IF(S$5="A",Inputs_Actuals!S57,R35)</f>
        <v>216000</v>
      </c>
      <c r="T35" s="65" t="n">
        <f aca="false">IF(T$5="A",Inputs_Actuals!T57,S35)</f>
        <v>216000</v>
      </c>
      <c r="U35" s="65" t="n">
        <f aca="false">IF(U$5="A",Inputs_Actuals!U57,T35)</f>
        <v>216000</v>
      </c>
      <c r="V35" s="65" t="n">
        <f aca="false">IF(V$5="A",Inputs_Actuals!V57,U35)</f>
        <v>216000</v>
      </c>
      <c r="W35" s="65" t="n">
        <f aca="false">IF(W$5="A",Inputs_Actuals!W57,V35)</f>
        <v>216000</v>
      </c>
      <c r="X35" s="65" t="n">
        <f aca="false">IF(X$5="A",Inputs_Actuals!X57,W35)</f>
        <v>216000</v>
      </c>
      <c r="Y35" s="65" t="n">
        <f aca="false">IF(Y$5="A",Inputs_Actuals!Y57,Account_Register!$V$12*ROUND(MAX(X35*(1+Assumptions!$F$184),0.95*X56)/10000,0)*10000)</f>
        <v>207000</v>
      </c>
      <c r="Z35" s="65" t="n">
        <f aca="false">IF(Z$5="A",Inputs_Actuals!Z57,Y35)</f>
        <v>207000</v>
      </c>
      <c r="AA35" s="65" t="n">
        <f aca="false">IF(AA$5="A",Inputs_Actuals!AA57,Z35)</f>
        <v>207000</v>
      </c>
      <c r="AB35" s="65" t="n">
        <f aca="false">IF(AB$5="A",Inputs_Actuals!AB57,AA35)</f>
        <v>207000</v>
      </c>
    </row>
    <row r="36" customFormat="false" ht="15" hidden="false" customHeight="false" outlineLevel="0" collapsed="false">
      <c r="A36" s="28" t="s">
        <v>920</v>
      </c>
      <c r="B36" s="62" t="s">
        <v>914</v>
      </c>
      <c r="C36" s="64" t="n">
        <f aca="false">P36</f>
        <v>162000</v>
      </c>
      <c r="D36" s="64" t="n">
        <f aca="false">AB36</f>
        <v>153000</v>
      </c>
      <c r="E36" s="65" t="n">
        <f aca="false">IF(E$5="A",Inputs_Actuals!E58,Account_Register!$I$13)</f>
        <v>170000</v>
      </c>
      <c r="F36" s="65" t="n">
        <f aca="false">IF(F$5="A",Inputs_Actuals!F58,E36)</f>
        <v>170000</v>
      </c>
      <c r="G36" s="65" t="n">
        <f aca="false">IF(G$5="A",Inputs_Actuals!G58,F36)</f>
        <v>170000</v>
      </c>
      <c r="H36" s="65" t="n">
        <f aca="false">IF(H$5="A",Inputs_Actuals!H58,G36)</f>
        <v>170000</v>
      </c>
      <c r="I36" s="65" t="n">
        <f aca="false">IF(I$5="A",Inputs_Actuals!I58,H36)</f>
        <v>170000</v>
      </c>
      <c r="J36" s="65" t="n">
        <f aca="false">IF(J$5="A",Inputs_Actuals!J58,I36)</f>
        <v>170000</v>
      </c>
      <c r="K36" s="65" t="n">
        <f aca="false">IF(K$5="A",Inputs_Actuals!K58,J36)</f>
        <v>170000</v>
      </c>
      <c r="L36" s="65" t="n">
        <f aca="false">IF(L$5="A",Inputs_Actuals!L58,K36)</f>
        <v>170000</v>
      </c>
      <c r="M36" s="65" t="n">
        <f aca="false">IF(M$5="A",Inputs_Actuals!M58,L36)</f>
        <v>170000</v>
      </c>
      <c r="N36" s="65" t="n">
        <f aca="false">IF(N$5="A",Inputs_Actuals!N58,M36)</f>
        <v>170000</v>
      </c>
      <c r="O36" s="65" t="n">
        <f aca="false">IF(O$5="A",Inputs_Actuals!O58,Account_Register!$V$13*ROUND(MAX(N36*(1+Assumptions!$F$184),0.95*N57)/10000,0)*10000)</f>
        <v>162000</v>
      </c>
      <c r="P36" s="65" t="n">
        <f aca="false">IF(P$5="A",Inputs_Actuals!P58,O36)</f>
        <v>162000</v>
      </c>
      <c r="Q36" s="65" t="n">
        <f aca="false">IF(Q$5="A",Inputs_Actuals!Q58,P36)</f>
        <v>162000</v>
      </c>
      <c r="R36" s="65" t="n">
        <f aca="false">IF(R$5="A",Inputs_Actuals!R58,Q36)</f>
        <v>162000</v>
      </c>
      <c r="S36" s="65" t="n">
        <f aca="false">IF(S$5="A",Inputs_Actuals!S58,R36)</f>
        <v>162000</v>
      </c>
      <c r="T36" s="65" t="n">
        <f aca="false">IF(T$5="A",Inputs_Actuals!T58,S36)</f>
        <v>162000</v>
      </c>
      <c r="U36" s="65" t="n">
        <f aca="false">IF(U$5="A",Inputs_Actuals!U58,T36)</f>
        <v>162000</v>
      </c>
      <c r="V36" s="65" t="n">
        <f aca="false">IF(V$5="A",Inputs_Actuals!V58,U36)</f>
        <v>162000</v>
      </c>
      <c r="W36" s="65" t="n">
        <f aca="false">IF(W$5="A",Inputs_Actuals!W58,V36)</f>
        <v>162000</v>
      </c>
      <c r="X36" s="65" t="n">
        <f aca="false">IF(X$5="A",Inputs_Actuals!X58,W36)</f>
        <v>162000</v>
      </c>
      <c r="Y36" s="65" t="n">
        <f aca="false">IF(Y$5="A",Inputs_Actuals!Y58,X36)</f>
        <v>162000</v>
      </c>
      <c r="Z36" s="65" t="n">
        <f aca="false">IF(Z$5="A",Inputs_Actuals!Z58,Y36)</f>
        <v>162000</v>
      </c>
      <c r="AA36" s="65" t="n">
        <f aca="false">IF(AA$5="A",Inputs_Actuals!AA58,Account_Register!$V$13*ROUND(MAX(Z36*(1+Assumptions!$F$184),0.95*Z57)/10000,0)*10000)</f>
        <v>153000</v>
      </c>
      <c r="AB36" s="65" t="n">
        <f aca="false">IF(AB$5="A",Inputs_Actuals!AB58,AA36)</f>
        <v>153000</v>
      </c>
    </row>
    <row r="37" customFormat="false" ht="15" hidden="false" customHeight="false" outlineLevel="0" collapsed="false">
      <c r="A37" s="28" t="s">
        <v>921</v>
      </c>
      <c r="B37" s="62" t="s">
        <v>914</v>
      </c>
      <c r="C37" s="64" t="n">
        <f aca="false">P37</f>
        <v>0</v>
      </c>
      <c r="D37" s="64" t="n">
        <f aca="false">AB37</f>
        <v>0</v>
      </c>
      <c r="E37" s="65" t="n">
        <f aca="false">IF(E$5="A",Inputs_Actuals!E59,Account_Register!$I$14)</f>
        <v>160000</v>
      </c>
      <c r="F37" s="65" t="n">
        <f aca="false">IF(F$5="A",Inputs_Actuals!F59,E37)</f>
        <v>160000</v>
      </c>
      <c r="G37" s="65" t="n">
        <f aca="false">IF(G$5="A",Inputs_Actuals!G59,Account_Register!$V$14*ROUND(MAX(F37*(1+Assumptions!$F$184),0.95*F58)/10000,0)*10000)</f>
        <v>0</v>
      </c>
      <c r="H37" s="65" t="n">
        <f aca="false">IF(H$5="A",Inputs_Actuals!H59,G37)</f>
        <v>0</v>
      </c>
      <c r="I37" s="65" t="n">
        <f aca="false">IF(I$5="A",Inputs_Actuals!I59,H37)</f>
        <v>0</v>
      </c>
      <c r="J37" s="65" t="n">
        <f aca="false">IF(J$5="A",Inputs_Actuals!J59,I37)</f>
        <v>0</v>
      </c>
      <c r="K37" s="65" t="n">
        <f aca="false">IF(K$5="A",Inputs_Actuals!K59,J37)</f>
        <v>0</v>
      </c>
      <c r="L37" s="65" t="n">
        <f aca="false">IF(L$5="A",Inputs_Actuals!L59,K37)</f>
        <v>0</v>
      </c>
      <c r="M37" s="65" t="n">
        <f aca="false">IF(M$5="A",Inputs_Actuals!M59,L37)</f>
        <v>0</v>
      </c>
      <c r="N37" s="65" t="n">
        <f aca="false">IF(N$5="A",Inputs_Actuals!N59,M37)</f>
        <v>0</v>
      </c>
      <c r="O37" s="65" t="n">
        <f aca="false">IF(O$5="A",Inputs_Actuals!O59,N37)</f>
        <v>0</v>
      </c>
      <c r="P37" s="65" t="n">
        <f aca="false">IF(P$5="A",Inputs_Actuals!P59,O37)</f>
        <v>0</v>
      </c>
      <c r="Q37" s="65" t="n">
        <f aca="false">IF(Q$5="A",Inputs_Actuals!Q59,P37)</f>
        <v>0</v>
      </c>
      <c r="R37" s="65" t="n">
        <f aca="false">IF(R$5="A",Inputs_Actuals!R59,Q37)</f>
        <v>0</v>
      </c>
      <c r="S37" s="65" t="n">
        <f aca="false">IF(S$5="A",Inputs_Actuals!S59,Account_Register!$V$14*ROUND(MAX(R37*(1+Assumptions!$F$184),0.95*R58)/10000,0)*10000)</f>
        <v>0</v>
      </c>
      <c r="T37" s="65" t="n">
        <f aca="false">IF(T$5="A",Inputs_Actuals!T59,S37)</f>
        <v>0</v>
      </c>
      <c r="U37" s="65" t="n">
        <f aca="false">IF(U$5="A",Inputs_Actuals!U59,T37)</f>
        <v>0</v>
      </c>
      <c r="V37" s="65" t="n">
        <f aca="false">IF(V$5="A",Inputs_Actuals!V59,U37)</f>
        <v>0</v>
      </c>
      <c r="W37" s="65" t="n">
        <f aca="false">IF(W$5="A",Inputs_Actuals!W59,V37)</f>
        <v>0</v>
      </c>
      <c r="X37" s="65" t="n">
        <f aca="false">IF(X$5="A",Inputs_Actuals!X59,W37)</f>
        <v>0</v>
      </c>
      <c r="Y37" s="65" t="n">
        <f aca="false">IF(Y$5="A",Inputs_Actuals!Y59,X37)</f>
        <v>0</v>
      </c>
      <c r="Z37" s="65" t="n">
        <f aca="false">IF(Z$5="A",Inputs_Actuals!Z59,Y37)</f>
        <v>0</v>
      </c>
      <c r="AA37" s="65" t="n">
        <f aca="false">IF(AA$5="A",Inputs_Actuals!AA59,Z37)</f>
        <v>0</v>
      </c>
      <c r="AB37" s="65" t="n">
        <f aca="false">IF(AB$5="A",Inputs_Actuals!AB59,AA37)</f>
        <v>0</v>
      </c>
    </row>
    <row r="38" customFormat="false" ht="15" hidden="false" customHeight="false" outlineLevel="0" collapsed="false">
      <c r="A38" s="28" t="s">
        <v>922</v>
      </c>
      <c r="B38" s="62" t="s">
        <v>914</v>
      </c>
      <c r="C38" s="64" t="n">
        <f aca="false">P38</f>
        <v>190000</v>
      </c>
      <c r="D38" s="64" t="n">
        <f aca="false">AB38</f>
        <v>193200</v>
      </c>
      <c r="E38" s="65" t="n">
        <f aca="false">IF(E$5="A",Inputs_Actuals!E60,Account_Register!$I$15)</f>
        <v>180000</v>
      </c>
      <c r="F38" s="65" t="n">
        <f aca="false">IF(F$5="A",Inputs_Actuals!F60,Account_Register!$V$15*ROUND(MAX(E38*(1+Assumptions!$F$184),0.95*E59)/10000,0)*10000)</f>
        <v>190000</v>
      </c>
      <c r="G38" s="65" t="n">
        <f aca="false">IF(G$5="A",Inputs_Actuals!G60,F38)</f>
        <v>190000</v>
      </c>
      <c r="H38" s="65" t="n">
        <f aca="false">IF(H$5="A",Inputs_Actuals!H60,G38)</f>
        <v>190000</v>
      </c>
      <c r="I38" s="65" t="n">
        <f aca="false">IF(I$5="A",Inputs_Actuals!I60,H38)</f>
        <v>190000</v>
      </c>
      <c r="J38" s="65" t="n">
        <f aca="false">IF(J$5="A",Inputs_Actuals!J60,I38)</f>
        <v>190000</v>
      </c>
      <c r="K38" s="65" t="n">
        <f aca="false">IF(K$5="A",Inputs_Actuals!K60,J38)</f>
        <v>190000</v>
      </c>
      <c r="L38" s="65" t="n">
        <f aca="false">IF(L$5="A",Inputs_Actuals!L60,K38)</f>
        <v>190000</v>
      </c>
      <c r="M38" s="65" t="n">
        <f aca="false">IF(M$5="A",Inputs_Actuals!M60,L38)</f>
        <v>190000</v>
      </c>
      <c r="N38" s="65" t="n">
        <f aca="false">IF(N$5="A",Inputs_Actuals!N60,M38)</f>
        <v>190000</v>
      </c>
      <c r="O38" s="65" t="n">
        <f aca="false">IF(O$5="A",Inputs_Actuals!O60,N38)</f>
        <v>190000</v>
      </c>
      <c r="P38" s="65" t="n">
        <f aca="false">IF(P$5="A",Inputs_Actuals!P60,O38)</f>
        <v>190000</v>
      </c>
      <c r="Q38" s="65" t="n">
        <f aca="false">IF(Q$5="A",Inputs_Actuals!Q60,P38)</f>
        <v>190000</v>
      </c>
      <c r="R38" s="65" t="n">
        <f aca="false">IF(R$5="A",Inputs_Actuals!R60,Account_Register!$V$15*ROUND(MAX(Q38*(1+Assumptions!$F$184),0.95*Q59)/10000,0)*10000)</f>
        <v>193200</v>
      </c>
      <c r="S38" s="65" t="n">
        <f aca="false">IF(S$5="A",Inputs_Actuals!S60,R38)</f>
        <v>193200</v>
      </c>
      <c r="T38" s="65" t="n">
        <f aca="false">IF(T$5="A",Inputs_Actuals!T60,S38)</f>
        <v>193200</v>
      </c>
      <c r="U38" s="65" t="n">
        <f aca="false">IF(U$5="A",Inputs_Actuals!U60,T38)</f>
        <v>193200</v>
      </c>
      <c r="V38" s="65" t="n">
        <f aca="false">IF(V$5="A",Inputs_Actuals!V60,U38)</f>
        <v>193200</v>
      </c>
      <c r="W38" s="65" t="n">
        <f aca="false">IF(W$5="A",Inputs_Actuals!W60,V38)</f>
        <v>193200</v>
      </c>
      <c r="X38" s="65" t="n">
        <f aca="false">IF(X$5="A",Inputs_Actuals!X60,W38)</f>
        <v>193200</v>
      </c>
      <c r="Y38" s="65" t="n">
        <f aca="false">IF(Y$5="A",Inputs_Actuals!Y60,X38)</f>
        <v>193200</v>
      </c>
      <c r="Z38" s="65" t="n">
        <f aca="false">IF(Z$5="A",Inputs_Actuals!Z60,Y38)</f>
        <v>193200</v>
      </c>
      <c r="AA38" s="65" t="n">
        <f aca="false">IF(AA$5="A",Inputs_Actuals!AA60,Z38)</f>
        <v>193200</v>
      </c>
      <c r="AB38" s="65" t="n">
        <f aca="false">IF(AB$5="A",Inputs_Actuals!AB60,AA38)</f>
        <v>193200</v>
      </c>
    </row>
    <row r="39" customFormat="false" ht="15" hidden="false" customHeight="false" outlineLevel="0" collapsed="false">
      <c r="A39" s="28" t="s">
        <v>923</v>
      </c>
      <c r="B39" s="62" t="s">
        <v>914</v>
      </c>
      <c r="C39" s="64" t="n">
        <f aca="false">P39</f>
        <v>170000</v>
      </c>
      <c r="D39" s="64" t="n">
        <f aca="false">AB39</f>
        <v>189000</v>
      </c>
      <c r="E39" s="65" t="n">
        <f aca="false">IF(E$5="A",Inputs_Actuals!E61,Account_Register!$I$16)</f>
        <v>160000</v>
      </c>
      <c r="F39" s="65" t="n">
        <f aca="false">IF(F$5="A",Inputs_Actuals!F61,E39)</f>
        <v>160000</v>
      </c>
      <c r="G39" s="65" t="n">
        <f aca="false">IF(G$5="A",Inputs_Actuals!G61,F39)</f>
        <v>160000</v>
      </c>
      <c r="H39" s="65" t="n">
        <f aca="false">IF(H$5="A",Inputs_Actuals!H61,Account_Register!$V$16*ROUND(MAX(G39*(1+Assumptions!$F$184),0.95*G60)/10000,0)*10000)</f>
        <v>170000</v>
      </c>
      <c r="I39" s="65" t="n">
        <f aca="false">IF(I$5="A",Inputs_Actuals!I61,H39)</f>
        <v>170000</v>
      </c>
      <c r="J39" s="65" t="n">
        <f aca="false">IF(J$5="A",Inputs_Actuals!J61,I39)</f>
        <v>170000</v>
      </c>
      <c r="K39" s="65" t="n">
        <f aca="false">IF(K$5="A",Inputs_Actuals!K61,J39)</f>
        <v>170000</v>
      </c>
      <c r="L39" s="65" t="n">
        <f aca="false">IF(L$5="A",Inputs_Actuals!L61,K39)</f>
        <v>170000</v>
      </c>
      <c r="M39" s="65" t="n">
        <f aca="false">IF(M$5="A",Inputs_Actuals!M61,L39)</f>
        <v>170000</v>
      </c>
      <c r="N39" s="65" t="n">
        <f aca="false">IF(N$5="A",Inputs_Actuals!N61,M39)</f>
        <v>170000</v>
      </c>
      <c r="O39" s="65" t="n">
        <f aca="false">IF(O$5="A",Inputs_Actuals!O61,N39)</f>
        <v>170000</v>
      </c>
      <c r="P39" s="65" t="n">
        <f aca="false">IF(P$5="A",Inputs_Actuals!P61,O39)</f>
        <v>170000</v>
      </c>
      <c r="Q39" s="65" t="n">
        <f aca="false">IF(Q$5="A",Inputs_Actuals!Q61,P39)</f>
        <v>170000</v>
      </c>
      <c r="R39" s="65" t="n">
        <f aca="false">IF(R$5="A",Inputs_Actuals!R61,Q39)</f>
        <v>170000</v>
      </c>
      <c r="S39" s="65" t="n">
        <f aca="false">IF(S$5="A",Inputs_Actuals!S61,R39)</f>
        <v>170000</v>
      </c>
      <c r="T39" s="65" t="n">
        <f aca="false">IF(T$5="A",Inputs_Actuals!T61,Account_Register!$V$16*ROUND(MAX(S39*(1+Assumptions!$F$184),0.95*S60)/10000,0)*10000)</f>
        <v>189000</v>
      </c>
      <c r="U39" s="65" t="n">
        <f aca="false">IF(U$5="A",Inputs_Actuals!U61,T39)</f>
        <v>189000</v>
      </c>
      <c r="V39" s="65" t="n">
        <f aca="false">IF(V$5="A",Inputs_Actuals!V61,U39)</f>
        <v>189000</v>
      </c>
      <c r="W39" s="65" t="n">
        <f aca="false">IF(W$5="A",Inputs_Actuals!W61,V39)</f>
        <v>189000</v>
      </c>
      <c r="X39" s="65" t="n">
        <f aca="false">IF(X$5="A",Inputs_Actuals!X61,W39)</f>
        <v>189000</v>
      </c>
      <c r="Y39" s="65" t="n">
        <f aca="false">IF(Y$5="A",Inputs_Actuals!Y61,X39)</f>
        <v>189000</v>
      </c>
      <c r="Z39" s="65" t="n">
        <f aca="false">IF(Z$5="A",Inputs_Actuals!Z61,Y39)</f>
        <v>189000</v>
      </c>
      <c r="AA39" s="65" t="n">
        <f aca="false">IF(AA$5="A",Inputs_Actuals!AA61,Z39)</f>
        <v>189000</v>
      </c>
      <c r="AB39" s="65" t="n">
        <f aca="false">IF(AB$5="A",Inputs_Actuals!AB61,AA39)</f>
        <v>189000</v>
      </c>
    </row>
    <row r="40" customFormat="false" ht="15" hidden="false" customHeight="false" outlineLevel="0" collapsed="false">
      <c r="A40" s="28" t="s">
        <v>924</v>
      </c>
      <c r="B40" s="62" t="s">
        <v>914</v>
      </c>
      <c r="C40" s="64" t="n">
        <f aca="false">P40</f>
        <v>130000</v>
      </c>
      <c r="D40" s="64" t="n">
        <f aca="false">AB40</f>
        <v>126000</v>
      </c>
      <c r="E40" s="65" t="n">
        <f aca="false">IF(E$5="A",Inputs_Actuals!E62,Account_Register!$I$17)</f>
        <v>120000</v>
      </c>
      <c r="F40" s="65" t="n">
        <f aca="false">IF(F$5="A",Inputs_Actuals!F62,E40)</f>
        <v>120000</v>
      </c>
      <c r="G40" s="65" t="n">
        <f aca="false">IF(G$5="A",Inputs_Actuals!G62,F40)</f>
        <v>120000</v>
      </c>
      <c r="H40" s="65" t="n">
        <f aca="false">IF(H$5="A",Inputs_Actuals!H62,G40)</f>
        <v>120000</v>
      </c>
      <c r="I40" s="65" t="n">
        <f aca="false">IF(I$5="A",Inputs_Actuals!I62,H40)</f>
        <v>120000</v>
      </c>
      <c r="J40" s="65" t="n">
        <f aca="false">IF(J$5="A",Inputs_Actuals!J62,Account_Register!$V$17*ROUND(MAX(I40*(1+Assumptions!$F$184),0.95*I61)/10000,0)*10000)</f>
        <v>130000</v>
      </c>
      <c r="K40" s="65" t="n">
        <f aca="false">IF(K$5="A",Inputs_Actuals!K62,J40)</f>
        <v>130000</v>
      </c>
      <c r="L40" s="65" t="n">
        <f aca="false">IF(L$5="A",Inputs_Actuals!L62,K40)</f>
        <v>130000</v>
      </c>
      <c r="M40" s="65" t="n">
        <f aca="false">IF(M$5="A",Inputs_Actuals!M62,L40)</f>
        <v>130000</v>
      </c>
      <c r="N40" s="65" t="n">
        <f aca="false">IF(N$5="A",Inputs_Actuals!N62,M40)</f>
        <v>130000</v>
      </c>
      <c r="O40" s="65" t="n">
        <f aca="false">IF(O$5="A",Inputs_Actuals!O62,N40)</f>
        <v>130000</v>
      </c>
      <c r="P40" s="65" t="n">
        <f aca="false">IF(P$5="A",Inputs_Actuals!P62,O40)</f>
        <v>130000</v>
      </c>
      <c r="Q40" s="65" t="n">
        <f aca="false">IF(Q$5="A",Inputs_Actuals!Q62,P40)</f>
        <v>130000</v>
      </c>
      <c r="R40" s="65" t="n">
        <f aca="false">IF(R$5="A",Inputs_Actuals!R62,Q40)</f>
        <v>130000</v>
      </c>
      <c r="S40" s="65" t="n">
        <f aca="false">IF(S$5="A",Inputs_Actuals!S62,R40)</f>
        <v>130000</v>
      </c>
      <c r="T40" s="65" t="n">
        <f aca="false">IF(T$5="A",Inputs_Actuals!T62,S40)</f>
        <v>130000</v>
      </c>
      <c r="U40" s="65" t="n">
        <f aca="false">IF(U$5="A",Inputs_Actuals!U62,T40)</f>
        <v>130000</v>
      </c>
      <c r="V40" s="65" t="n">
        <f aca="false">IF(V$5="A",Inputs_Actuals!V62,Account_Register!$V$17*ROUND(MAX(U40*(1+Assumptions!$F$184),0.95*U61)/10000,0)*10000)</f>
        <v>126000</v>
      </c>
      <c r="W40" s="65" t="n">
        <f aca="false">IF(W$5="A",Inputs_Actuals!W62,V40)</f>
        <v>126000</v>
      </c>
      <c r="X40" s="65" t="n">
        <f aca="false">IF(X$5="A",Inputs_Actuals!X62,W40)</f>
        <v>126000</v>
      </c>
      <c r="Y40" s="65" t="n">
        <f aca="false">IF(Y$5="A",Inputs_Actuals!Y62,X40)</f>
        <v>126000</v>
      </c>
      <c r="Z40" s="65" t="n">
        <f aca="false">IF(Z$5="A",Inputs_Actuals!Z62,Y40)</f>
        <v>126000</v>
      </c>
      <c r="AA40" s="65" t="n">
        <f aca="false">IF(AA$5="A",Inputs_Actuals!AA62,Z40)</f>
        <v>126000</v>
      </c>
      <c r="AB40" s="65" t="n">
        <f aca="false">IF(AB$5="A",Inputs_Actuals!AB62,AA40)</f>
        <v>126000</v>
      </c>
    </row>
    <row r="41" customFormat="false" ht="15" hidden="false" customHeight="false" outlineLevel="0" collapsed="false">
      <c r="A41" s="28" t="s">
        <v>925</v>
      </c>
      <c r="B41" s="62" t="s">
        <v>914</v>
      </c>
      <c r="C41" s="64" t="n">
        <f aca="false">P41</f>
        <v>150000</v>
      </c>
      <c r="D41" s="64" t="n">
        <f aca="false">AB41</f>
        <v>144000</v>
      </c>
      <c r="E41" s="65" t="n">
        <f aca="false">IF(E$5="A",Inputs_Actuals!E63,Account_Register!$I$18)</f>
        <v>140000</v>
      </c>
      <c r="F41" s="65" t="n">
        <f aca="false">IF(F$5="A",Inputs_Actuals!F63,E41)</f>
        <v>140000</v>
      </c>
      <c r="G41" s="65" t="n">
        <f aca="false">IF(G$5="A",Inputs_Actuals!G63,F41)</f>
        <v>140000</v>
      </c>
      <c r="H41" s="65" t="n">
        <f aca="false">IF(H$5="A",Inputs_Actuals!H63,G41)</f>
        <v>140000</v>
      </c>
      <c r="I41" s="65" t="n">
        <f aca="false">IF(I$5="A",Inputs_Actuals!I63,H41)</f>
        <v>140000</v>
      </c>
      <c r="J41" s="65" t="n">
        <f aca="false">IF(J$5="A",Inputs_Actuals!J63,I41)</f>
        <v>140000</v>
      </c>
      <c r="K41" s="65" t="n">
        <f aca="false">IF(K$5="A",Inputs_Actuals!K63,J41)</f>
        <v>140000</v>
      </c>
      <c r="L41" s="65" t="n">
        <f aca="false">IF(L$5="A",Inputs_Actuals!L63,Account_Register!$V$18*ROUND(MAX(K41*(1+Assumptions!$F$184),0.95*K62)/10000,0)*10000)</f>
        <v>150000</v>
      </c>
      <c r="M41" s="65" t="n">
        <f aca="false">IF(M$5="A",Inputs_Actuals!M63,L41)</f>
        <v>150000</v>
      </c>
      <c r="N41" s="65" t="n">
        <f aca="false">IF(N$5="A",Inputs_Actuals!N63,M41)</f>
        <v>150000</v>
      </c>
      <c r="O41" s="65" t="n">
        <f aca="false">IF(O$5="A",Inputs_Actuals!O63,N41)</f>
        <v>150000</v>
      </c>
      <c r="P41" s="65" t="n">
        <f aca="false">IF(P$5="A",Inputs_Actuals!P63,O41)</f>
        <v>150000</v>
      </c>
      <c r="Q41" s="65" t="n">
        <f aca="false">IF(Q$5="A",Inputs_Actuals!Q63,P41)</f>
        <v>150000</v>
      </c>
      <c r="R41" s="65" t="n">
        <f aca="false">IF(R$5="A",Inputs_Actuals!R63,Q41)</f>
        <v>150000</v>
      </c>
      <c r="S41" s="65" t="n">
        <f aca="false">IF(S$5="A",Inputs_Actuals!S63,R41)</f>
        <v>150000</v>
      </c>
      <c r="T41" s="65" t="n">
        <f aca="false">IF(T$5="A",Inputs_Actuals!T63,S41)</f>
        <v>150000</v>
      </c>
      <c r="U41" s="65" t="n">
        <f aca="false">IF(U$5="A",Inputs_Actuals!U63,T41)</f>
        <v>150000</v>
      </c>
      <c r="V41" s="65" t="n">
        <f aca="false">IF(V$5="A",Inputs_Actuals!V63,U41)</f>
        <v>150000</v>
      </c>
      <c r="W41" s="65" t="n">
        <f aca="false">IF(W$5="A",Inputs_Actuals!W63,V41)</f>
        <v>150000</v>
      </c>
      <c r="X41" s="65" t="n">
        <f aca="false">IF(X$5="A",Inputs_Actuals!X63,Account_Register!$V$18*ROUND(MAX(W41*(1+Assumptions!$F$184),0.95*W62)/10000,0)*10000)</f>
        <v>144000</v>
      </c>
      <c r="Y41" s="65" t="n">
        <f aca="false">IF(Y$5="A",Inputs_Actuals!Y63,X41)</f>
        <v>144000</v>
      </c>
      <c r="Z41" s="65" t="n">
        <f aca="false">IF(Z$5="A",Inputs_Actuals!Z63,Y41)</f>
        <v>144000</v>
      </c>
      <c r="AA41" s="65" t="n">
        <f aca="false">IF(AA$5="A",Inputs_Actuals!AA63,Z41)</f>
        <v>144000</v>
      </c>
      <c r="AB41" s="65" t="n">
        <f aca="false">IF(AB$5="A",Inputs_Actuals!AB63,AA41)</f>
        <v>144000</v>
      </c>
    </row>
    <row r="42" customFormat="false" ht="15" hidden="false" customHeight="false" outlineLevel="0" collapsed="false">
      <c r="A42" s="28" t="s">
        <v>926</v>
      </c>
      <c r="B42" s="62" t="s">
        <v>914</v>
      </c>
      <c r="C42" s="64" t="n">
        <f aca="false">P42</f>
        <v>147200</v>
      </c>
      <c r="D42" s="64" t="n">
        <f aca="false">AB42</f>
        <v>147200</v>
      </c>
      <c r="E42" s="65" t="n">
        <f aca="false">IF(E$5="A",Inputs_Actuals!E64,Account_Register!$I$19)</f>
        <v>150000</v>
      </c>
      <c r="F42" s="65" t="n">
        <f aca="false">IF(F$5="A",Inputs_Actuals!F64,E42)</f>
        <v>150000</v>
      </c>
      <c r="G42" s="65" t="n">
        <f aca="false">IF(G$5="A",Inputs_Actuals!G64,F42)</f>
        <v>150000</v>
      </c>
      <c r="H42" s="65" t="n">
        <f aca="false">IF(H$5="A",Inputs_Actuals!H64,G42)</f>
        <v>150000</v>
      </c>
      <c r="I42" s="65" t="n">
        <f aca="false">IF(I$5="A",Inputs_Actuals!I64,H42)</f>
        <v>150000</v>
      </c>
      <c r="J42" s="65" t="n">
        <f aca="false">IF(J$5="A",Inputs_Actuals!J64,I42)</f>
        <v>150000</v>
      </c>
      <c r="K42" s="65" t="n">
        <f aca="false">IF(K$5="A",Inputs_Actuals!K64,J42)</f>
        <v>150000</v>
      </c>
      <c r="L42" s="65" t="n">
        <f aca="false">IF(L$5="A",Inputs_Actuals!L64,K42)</f>
        <v>150000</v>
      </c>
      <c r="M42" s="65" t="n">
        <f aca="false">IF(M$5="A",Inputs_Actuals!M64,L42)</f>
        <v>150000</v>
      </c>
      <c r="N42" s="65" t="n">
        <f aca="false">IF(N$5="A",Inputs_Actuals!N64,Account_Register!$V$19*ROUND(MAX(M42*(1+Assumptions!$F$184),0.95*M63)/10000,0)*10000)</f>
        <v>147200</v>
      </c>
      <c r="O42" s="65" t="n">
        <f aca="false">IF(O$5="A",Inputs_Actuals!O64,N42)</f>
        <v>147200</v>
      </c>
      <c r="P42" s="65" t="n">
        <f aca="false">IF(P$5="A",Inputs_Actuals!P64,O42)</f>
        <v>147200</v>
      </c>
      <c r="Q42" s="65" t="n">
        <f aca="false">IF(Q$5="A",Inputs_Actuals!Q64,P42)</f>
        <v>147200</v>
      </c>
      <c r="R42" s="65" t="n">
        <f aca="false">IF(R$5="A",Inputs_Actuals!R64,Q42)</f>
        <v>147200</v>
      </c>
      <c r="S42" s="65" t="n">
        <f aca="false">IF(S$5="A",Inputs_Actuals!S64,R42)</f>
        <v>147200</v>
      </c>
      <c r="T42" s="65" t="n">
        <f aca="false">IF(T$5="A",Inputs_Actuals!T64,S42)</f>
        <v>147200</v>
      </c>
      <c r="U42" s="65" t="n">
        <f aca="false">IF(U$5="A",Inputs_Actuals!U64,T42)</f>
        <v>147200</v>
      </c>
      <c r="V42" s="65" t="n">
        <f aca="false">IF(V$5="A",Inputs_Actuals!V64,U42)</f>
        <v>147200</v>
      </c>
      <c r="W42" s="65" t="n">
        <f aca="false">IF(W$5="A",Inputs_Actuals!W64,V42)</f>
        <v>147200</v>
      </c>
      <c r="X42" s="65" t="n">
        <f aca="false">IF(X$5="A",Inputs_Actuals!X64,W42)</f>
        <v>147200</v>
      </c>
      <c r="Y42" s="65" t="n">
        <f aca="false">IF(Y$5="A",Inputs_Actuals!Y64,X42)</f>
        <v>147200</v>
      </c>
      <c r="Z42" s="65" t="n">
        <f aca="false">IF(Z$5="A",Inputs_Actuals!Z64,Account_Register!$V$19*ROUND(MAX(Y42*(1+Assumptions!$F$184),0.95*Y63)/10000,0)*10000)</f>
        <v>147200</v>
      </c>
      <c r="AA42" s="65" t="n">
        <f aca="false">IF(AA$5="A",Inputs_Actuals!AA64,Z42)</f>
        <v>147200</v>
      </c>
      <c r="AB42" s="65" t="n">
        <f aca="false">IF(AB$5="A",Inputs_Actuals!AB64,AA42)</f>
        <v>147200</v>
      </c>
    </row>
    <row r="43" customFormat="false" ht="15" hidden="false" customHeight="false" outlineLevel="0" collapsed="false">
      <c r="A43" s="28" t="s">
        <v>927</v>
      </c>
      <c r="B43" s="62" t="s">
        <v>914</v>
      </c>
      <c r="C43" s="64" t="n">
        <f aca="false">P43</f>
        <v>240000</v>
      </c>
      <c r="D43" s="64" t="n">
        <f aca="false">AB43</f>
        <v>239200</v>
      </c>
      <c r="E43" s="73" t="n">
        <f aca="false">0</f>
        <v>0</v>
      </c>
      <c r="F43" s="73" t="n">
        <f aca="false">0</f>
        <v>0</v>
      </c>
      <c r="G43" s="73" t="n">
        <f aca="false">0</f>
        <v>0</v>
      </c>
      <c r="H43" s="65" t="n">
        <f aca="false">IF(H$5="A",Inputs_Actuals!H65,G43)</f>
        <v>240000</v>
      </c>
      <c r="I43" s="65" t="n">
        <f aca="false">IF(I$5="A",Inputs_Actuals!I65,H43)</f>
        <v>240000</v>
      </c>
      <c r="J43" s="65" t="n">
        <f aca="false">IF(J$5="A",Inputs_Actuals!J65,I43)</f>
        <v>240000</v>
      </c>
      <c r="K43" s="65" t="n">
        <f aca="false">IF(K$5="A",Inputs_Actuals!K65,J43)</f>
        <v>240000</v>
      </c>
      <c r="L43" s="65" t="n">
        <f aca="false">IF(L$5="A",Inputs_Actuals!L65,K43)</f>
        <v>240000</v>
      </c>
      <c r="M43" s="65" t="n">
        <f aca="false">IF(M$5="A",Inputs_Actuals!M65,L43)</f>
        <v>240000</v>
      </c>
      <c r="N43" s="65" t="n">
        <f aca="false">IF(N$5="A",Inputs_Actuals!N65,M43)</f>
        <v>240000</v>
      </c>
      <c r="O43" s="65" t="n">
        <f aca="false">IF(O$5="A",Inputs_Actuals!O65,N43)</f>
        <v>240000</v>
      </c>
      <c r="P43" s="65" t="n">
        <f aca="false">IF(P$5="A",Inputs_Actuals!P65,O43)</f>
        <v>240000</v>
      </c>
      <c r="Q43" s="65" t="n">
        <f aca="false">IF(Q$5="A",Inputs_Actuals!Q65,P43)</f>
        <v>240000</v>
      </c>
      <c r="R43" s="65" t="n">
        <f aca="false">IF(R$5="A",Inputs_Actuals!R65,Q43)</f>
        <v>240000</v>
      </c>
      <c r="S43" s="65" t="n">
        <f aca="false">IF(S$5="A",Inputs_Actuals!S65,R43)</f>
        <v>240000</v>
      </c>
      <c r="T43" s="65" t="n">
        <f aca="false">IF(T$5="A",Inputs_Actuals!T65,Assumptions!$C$137*ROUND(MAX(S43*(1+Assumptions!$F$184),0.95*S64)/10000,0)*10000)</f>
        <v>239200</v>
      </c>
      <c r="U43" s="65" t="n">
        <f aca="false">IF(U$5="A",Inputs_Actuals!U65,T43)</f>
        <v>239200</v>
      </c>
      <c r="V43" s="65" t="n">
        <f aca="false">IF(V$5="A",Inputs_Actuals!V65,U43)</f>
        <v>239200</v>
      </c>
      <c r="W43" s="65" t="n">
        <f aca="false">IF(W$5="A",Inputs_Actuals!W65,V43)</f>
        <v>239200</v>
      </c>
      <c r="X43" s="65" t="n">
        <f aca="false">IF(X$5="A",Inputs_Actuals!X65,W43)</f>
        <v>239200</v>
      </c>
      <c r="Y43" s="65" t="n">
        <f aca="false">IF(Y$5="A",Inputs_Actuals!Y65,X43)</f>
        <v>239200</v>
      </c>
      <c r="Z43" s="65" t="n">
        <f aca="false">IF(Z$5="A",Inputs_Actuals!Z65,Y43)</f>
        <v>239200</v>
      </c>
      <c r="AA43" s="65" t="n">
        <f aca="false">IF(AA$5="A",Inputs_Actuals!AA65,Z43)</f>
        <v>239200</v>
      </c>
      <c r="AB43" s="65" t="n">
        <f aca="false">IF(AB$5="A",Inputs_Actuals!AB65,AA43)</f>
        <v>239200</v>
      </c>
    </row>
    <row r="44" customFormat="false" ht="15" hidden="false" customHeight="false" outlineLevel="0" collapsed="false">
      <c r="A44" s="28" t="s">
        <v>928</v>
      </c>
      <c r="B44" s="62" t="s">
        <v>914</v>
      </c>
      <c r="C44" s="64" t="n">
        <f aca="false">P44</f>
        <v>300000</v>
      </c>
      <c r="D44" s="64" t="n">
        <f aca="false">AB44</f>
        <v>294400</v>
      </c>
      <c r="E44" s="73" t="n">
        <f aca="false">0</f>
        <v>0</v>
      </c>
      <c r="F44" s="73" t="n">
        <f aca="false">0</f>
        <v>0</v>
      </c>
      <c r="G44" s="73" t="n">
        <f aca="false">0</f>
        <v>0</v>
      </c>
      <c r="H44" s="73" t="n">
        <f aca="false">0</f>
        <v>0</v>
      </c>
      <c r="I44" s="73" t="n">
        <f aca="false">0</f>
        <v>0</v>
      </c>
      <c r="J44" s="73" t="n">
        <f aca="false">0</f>
        <v>0</v>
      </c>
      <c r="K44" s="65" t="n">
        <f aca="false">IF(K$5="A",Inputs_Actuals!K66,J44)</f>
        <v>300000</v>
      </c>
      <c r="L44" s="65" t="n">
        <f aca="false">IF(L$5="A",Inputs_Actuals!L66,K44)</f>
        <v>300000</v>
      </c>
      <c r="M44" s="65" t="n">
        <f aca="false">IF(M$5="A",Inputs_Actuals!M66,L44)</f>
        <v>300000</v>
      </c>
      <c r="N44" s="65" t="n">
        <f aca="false">IF(N$5="A",Inputs_Actuals!N66,M44)</f>
        <v>300000</v>
      </c>
      <c r="O44" s="65" t="n">
        <f aca="false">IF(O$5="A",Inputs_Actuals!O66,N44)</f>
        <v>300000</v>
      </c>
      <c r="P44" s="65" t="n">
        <f aca="false">IF(P$5="A",Inputs_Actuals!P66,O44)</f>
        <v>300000</v>
      </c>
      <c r="Q44" s="65" t="n">
        <f aca="false">IF(Q$5="A",Inputs_Actuals!Q66,P44)</f>
        <v>300000</v>
      </c>
      <c r="R44" s="65" t="n">
        <f aca="false">IF(R$5="A",Inputs_Actuals!R66,Q44)</f>
        <v>300000</v>
      </c>
      <c r="S44" s="65" t="n">
        <f aca="false">IF(S$5="A",Inputs_Actuals!S66,R44)</f>
        <v>300000</v>
      </c>
      <c r="T44" s="65" t="n">
        <f aca="false">IF(T$5="A",Inputs_Actuals!T66,S44)</f>
        <v>300000</v>
      </c>
      <c r="U44" s="65" t="n">
        <f aca="false">IF(U$5="A",Inputs_Actuals!U66,T44)</f>
        <v>300000</v>
      </c>
      <c r="V44" s="65" t="n">
        <f aca="false">IF(V$5="A",Inputs_Actuals!V66,U44)</f>
        <v>300000</v>
      </c>
      <c r="W44" s="65" t="n">
        <f aca="false">IF(W$5="A",Inputs_Actuals!W66,Assumptions!$C$137*ROUND(MAX(V44*(1+Assumptions!$F$184),0.95*V65)/10000,0)*10000)</f>
        <v>294400</v>
      </c>
      <c r="X44" s="65" t="n">
        <f aca="false">IF(X$5="A",Inputs_Actuals!X66,W44)</f>
        <v>294400</v>
      </c>
      <c r="Y44" s="65" t="n">
        <f aca="false">IF(Y$5="A",Inputs_Actuals!Y66,X44)</f>
        <v>294400</v>
      </c>
      <c r="Z44" s="65" t="n">
        <f aca="false">IF(Z$5="A",Inputs_Actuals!Z66,Y44)</f>
        <v>294400</v>
      </c>
      <c r="AA44" s="65" t="n">
        <f aca="false">IF(AA$5="A",Inputs_Actuals!AA66,Z44)</f>
        <v>294400</v>
      </c>
      <c r="AB44" s="65" t="n">
        <f aca="false">IF(AB$5="A",Inputs_Actuals!AB66,AA44)</f>
        <v>294400</v>
      </c>
    </row>
    <row r="45" customFormat="false" ht="15" hidden="false" customHeight="false" outlineLevel="0" collapsed="false">
      <c r="A45" s="28" t="s">
        <v>929</v>
      </c>
      <c r="B45" s="62"/>
      <c r="C45" s="64" t="n">
        <f aca="false">P45</f>
        <v>198000</v>
      </c>
      <c r="D45" s="64" t="n">
        <f aca="false">AB45</f>
        <v>193200</v>
      </c>
      <c r="E45" s="65" t="n">
        <f aca="false">IF(Assumptions!E$204&lt;Account_Register!$W$22,0,IF(Assumptions!E$204=Account_Register!$W$22,Account_Register!$I$22*Account_Register!$V$22,IF(MOD(Assumptions!E$204-Account_Register!$W$22,12)=0,Assumptions!$C$137*ROUND(MAX(0*(1+Assumptions!$F$184),0.95*0)/10000,0)*10000,0)))</f>
        <v>0</v>
      </c>
      <c r="F45" s="65" t="n">
        <f aca="false">IF(Assumptions!F$204&lt;Account_Register!$W$22,0,IF(Assumptions!F$204=Account_Register!$W$22,Account_Register!$I$22*Account_Register!$V$22,IF(MOD(Assumptions!F$204-Account_Register!$W$22,12)=0,Assumptions!$C$137*ROUND(MAX(E45*(1+Assumptions!$F$184),0.95*E66)/10000,0)*10000,E45)))</f>
        <v>0</v>
      </c>
      <c r="G45" s="65" t="n">
        <f aca="false">IF(Assumptions!G$204&lt;Account_Register!$W$22,0,IF(Assumptions!G$204=Account_Register!$W$22,Account_Register!$I$22*Account_Register!$V$22,IF(MOD(Assumptions!G$204-Account_Register!$W$22,12)=0,Assumptions!$C$137*ROUND(MAX(F45*(1+Assumptions!$F$184),0.95*F66)/10000,0)*10000,F45)))</f>
        <v>0</v>
      </c>
      <c r="H45" s="65" t="n">
        <f aca="false">IF(Assumptions!H$204&lt;Account_Register!$W$22,0,IF(Assumptions!H$204=Account_Register!$W$22,Account_Register!$I$22*Account_Register!$V$22,IF(MOD(Assumptions!H$204-Account_Register!$W$22,12)=0,Assumptions!$C$137*ROUND(MAX(G45*(1+Assumptions!$F$184),0.95*G66)/10000,0)*10000,G45)))</f>
        <v>0</v>
      </c>
      <c r="I45" s="65" t="n">
        <f aca="false">IF(Assumptions!I$204&lt;Account_Register!$W$22,0,IF(Assumptions!I$204=Account_Register!$W$22,Account_Register!$I$22*Account_Register!$V$22,IF(MOD(Assumptions!I$204-Account_Register!$W$22,12)=0,Assumptions!$C$137*ROUND(MAX(H45*(1+Assumptions!$F$184),0.95*H66)/10000,0)*10000,H45)))</f>
        <v>0</v>
      </c>
      <c r="J45" s="65" t="n">
        <f aca="false">IF(Assumptions!J$204&lt;Account_Register!$W$22,0,IF(Assumptions!J$204=Account_Register!$W$22,Account_Register!$I$22*Account_Register!$V$22,IF(MOD(Assumptions!J$204-Account_Register!$W$22,12)=0,Assumptions!$C$137*ROUND(MAX(I45*(1+Assumptions!$F$184),0.95*I66)/10000,0)*10000,I45)))</f>
        <v>0</v>
      </c>
      <c r="K45" s="65" t="n">
        <f aca="false">IF(Assumptions!K$204&lt;Account_Register!$W$22,0,IF(Assumptions!K$204=Account_Register!$W$22,Account_Register!$I$22*Account_Register!$V$22,IF(MOD(Assumptions!K$204-Account_Register!$W$22,12)=0,Assumptions!$C$137*ROUND(MAX(J45*(1+Assumptions!$F$184),0.95*J66)/10000,0)*10000,J45)))</f>
        <v>0</v>
      </c>
      <c r="L45" s="65" t="n">
        <f aca="false">IF(Assumptions!L$204&lt;Account_Register!$W$22,0,IF(Assumptions!L$204=Account_Register!$W$22,Account_Register!$I$22*Account_Register!$V$22,IF(MOD(Assumptions!L$204-Account_Register!$W$22,12)=0,Assumptions!$C$137*ROUND(MAX(K45*(1+Assumptions!$F$184),0.95*K66)/10000,0)*10000,K45)))</f>
        <v>0</v>
      </c>
      <c r="M45" s="65" t="n">
        <f aca="false">IF(Assumptions!M$204&lt;Account_Register!$W$22,0,IF(Assumptions!M$204=Account_Register!$W$22,Account_Register!$I$22*Account_Register!$V$22,IF(MOD(Assumptions!M$204-Account_Register!$W$22,12)=0,Assumptions!$C$137*ROUND(MAX(L45*(1+Assumptions!$F$184),0.95*L66)/10000,0)*10000,L45)))</f>
        <v>0</v>
      </c>
      <c r="N45" s="65" t="n">
        <f aca="false">IF(Assumptions!N$204&lt;Account_Register!$W$22,0,IF(Assumptions!N$204=Account_Register!$W$22,Account_Register!$I$22*Account_Register!$V$22,IF(MOD(Assumptions!N$204-Account_Register!$W$22,12)=0,Assumptions!$C$137*ROUND(MAX(M45*(1+Assumptions!$F$184),0.95*M66)/10000,0)*10000,M45)))</f>
        <v>0</v>
      </c>
      <c r="O45" s="65" t="n">
        <f aca="false">IF(Assumptions!O$204&lt;Account_Register!$W$22,0,IF(Assumptions!O$204=Account_Register!$W$22,Account_Register!$I$22*Account_Register!$V$22,IF(MOD(Assumptions!O$204-Account_Register!$W$22,12)=0,Assumptions!$C$137*ROUND(MAX(N45*(1+Assumptions!$F$184),0.95*N66)/10000,0)*10000,N45)))</f>
        <v>198000</v>
      </c>
      <c r="P45" s="65" t="n">
        <f aca="false">IF(Assumptions!P$204&lt;Account_Register!$W$22,0,IF(Assumptions!P$204=Account_Register!$W$22,Account_Register!$I$22*Account_Register!$V$22,IF(MOD(Assumptions!P$204-Account_Register!$W$22,12)=0,Assumptions!$C$137*ROUND(MAX(O45*(1+Assumptions!$F$184),0.95*O66)/10000,0)*10000,O45)))</f>
        <v>198000</v>
      </c>
      <c r="Q45" s="65" t="n">
        <f aca="false">IF(Assumptions!Q$204&lt;Account_Register!$W$22,0,IF(Assumptions!Q$204=Account_Register!$W$22,Account_Register!$I$22*Account_Register!$V$22,IF(MOD(Assumptions!Q$204-Account_Register!$W$22,12)=0,Assumptions!$C$137*ROUND(MAX(P45*(1+Assumptions!$F$184),0.95*P66)/10000,0)*10000,P45)))</f>
        <v>198000</v>
      </c>
      <c r="R45" s="65" t="n">
        <f aca="false">IF(Assumptions!R$204&lt;Account_Register!$W$22,0,IF(Assumptions!R$204=Account_Register!$W$22,Account_Register!$I$22*Account_Register!$V$22,IF(MOD(Assumptions!R$204-Account_Register!$W$22,12)=0,Assumptions!$C$137*ROUND(MAX(Q45*(1+Assumptions!$F$184),0.95*Q66)/10000,0)*10000,Q45)))</f>
        <v>198000</v>
      </c>
      <c r="S45" s="65" t="n">
        <f aca="false">IF(Assumptions!S$204&lt;Account_Register!$W$22,0,IF(Assumptions!S$204=Account_Register!$W$22,Account_Register!$I$22*Account_Register!$V$22,IF(MOD(Assumptions!S$204-Account_Register!$W$22,12)=0,Assumptions!$C$137*ROUND(MAX(R45*(1+Assumptions!$F$184),0.95*R66)/10000,0)*10000,R45)))</f>
        <v>198000</v>
      </c>
      <c r="T45" s="65" t="n">
        <f aca="false">IF(Assumptions!T$204&lt;Account_Register!$W$22,0,IF(Assumptions!T$204=Account_Register!$W$22,Account_Register!$I$22*Account_Register!$V$22,IF(MOD(Assumptions!T$204-Account_Register!$W$22,12)=0,Assumptions!$C$137*ROUND(MAX(S45*(1+Assumptions!$F$184),0.95*S66)/10000,0)*10000,S45)))</f>
        <v>198000</v>
      </c>
      <c r="U45" s="65" t="n">
        <f aca="false">IF(Assumptions!U$204&lt;Account_Register!$W$22,0,IF(Assumptions!U$204=Account_Register!$W$22,Account_Register!$I$22*Account_Register!$V$22,IF(MOD(Assumptions!U$204-Account_Register!$W$22,12)=0,Assumptions!$C$137*ROUND(MAX(T45*(1+Assumptions!$F$184),0.95*T66)/10000,0)*10000,T45)))</f>
        <v>198000</v>
      </c>
      <c r="V45" s="65" t="n">
        <f aca="false">IF(Assumptions!V$204&lt;Account_Register!$W$22,0,IF(Assumptions!V$204=Account_Register!$W$22,Account_Register!$I$22*Account_Register!$V$22,IF(MOD(Assumptions!V$204-Account_Register!$W$22,12)=0,Assumptions!$C$137*ROUND(MAX(U45*(1+Assumptions!$F$184),0.95*U66)/10000,0)*10000,U45)))</f>
        <v>198000</v>
      </c>
      <c r="W45" s="65" t="n">
        <f aca="false">IF(Assumptions!W$204&lt;Account_Register!$W$22,0,IF(Assumptions!W$204=Account_Register!$W$22,Account_Register!$I$22*Account_Register!$V$22,IF(MOD(Assumptions!W$204-Account_Register!$W$22,12)=0,Assumptions!$C$137*ROUND(MAX(V45*(1+Assumptions!$F$184),0.95*V66)/10000,0)*10000,V45)))</f>
        <v>198000</v>
      </c>
      <c r="X45" s="65" t="n">
        <f aca="false">IF(Assumptions!X$204&lt;Account_Register!$W$22,0,IF(Assumptions!X$204=Account_Register!$W$22,Account_Register!$I$22*Account_Register!$V$22,IF(MOD(Assumptions!X$204-Account_Register!$W$22,12)=0,Assumptions!$C$137*ROUND(MAX(W45*(1+Assumptions!$F$184),0.95*W66)/10000,0)*10000,W45)))</f>
        <v>198000</v>
      </c>
      <c r="Y45" s="65" t="n">
        <f aca="false">IF(Assumptions!Y$204&lt;Account_Register!$W$22,0,IF(Assumptions!Y$204=Account_Register!$W$22,Account_Register!$I$22*Account_Register!$V$22,IF(MOD(Assumptions!Y$204-Account_Register!$W$22,12)=0,Assumptions!$C$137*ROUND(MAX(X45*(1+Assumptions!$F$184),0.95*X66)/10000,0)*10000,X45)))</f>
        <v>198000</v>
      </c>
      <c r="Z45" s="65" t="n">
        <f aca="false">IF(Assumptions!Z$204&lt;Account_Register!$W$22,0,IF(Assumptions!Z$204=Account_Register!$W$22,Account_Register!$I$22*Account_Register!$V$22,IF(MOD(Assumptions!Z$204-Account_Register!$W$22,12)=0,Assumptions!$C$137*ROUND(MAX(Y45*(1+Assumptions!$F$184),0.95*Y66)/10000,0)*10000,Y45)))</f>
        <v>198000</v>
      </c>
      <c r="AA45" s="65" t="n">
        <f aca="false">IF(Assumptions!AA$204&lt;Account_Register!$W$22,0,IF(Assumptions!AA$204=Account_Register!$W$22,Account_Register!$I$22*Account_Register!$V$22,IF(MOD(Assumptions!AA$204-Account_Register!$W$22,12)=0,Assumptions!$C$137*ROUND(MAX(Z45*(1+Assumptions!$F$184),0.95*Z66)/10000,0)*10000,Z45)))</f>
        <v>193200</v>
      </c>
      <c r="AB45" s="65" t="n">
        <f aca="false">IF(Assumptions!AB$204&lt;Account_Register!$W$22,0,IF(Assumptions!AB$204=Account_Register!$W$22,Account_Register!$I$22*Account_Register!$V$22,IF(MOD(Assumptions!AB$204-Account_Register!$W$22,12)=0,Assumptions!$C$137*ROUND(MAX(AA45*(1+Assumptions!$F$184),0.95*AA66)/10000,0)*10000,AA45)))</f>
        <v>193200</v>
      </c>
    </row>
    <row r="46" customFormat="false" ht="15" hidden="false" customHeight="false" outlineLevel="0" collapsed="false">
      <c r="A46" s="28" t="s">
        <v>930</v>
      </c>
      <c r="B46" s="62"/>
      <c r="C46" s="64" t="n">
        <f aca="false">P46</f>
        <v>120000</v>
      </c>
      <c r="D46" s="64" t="n">
        <f aca="false">AB46</f>
        <v>119600</v>
      </c>
      <c r="E46" s="65" t="n">
        <f aca="false">IF(Assumptions!E$204&lt;Account_Register!$W$23,0,IF(Assumptions!E$204=Account_Register!$W$23,Account_Register!$I$23*Account_Register!$V$23,IF(MOD(Assumptions!E$204-Account_Register!$W$23,12)=0,Assumptions!$C$137*ROUND(MAX(0*(1+Assumptions!$F$184),0.95*0)/10000,0)*10000,0)))</f>
        <v>0</v>
      </c>
      <c r="F46" s="65" t="n">
        <f aca="false">IF(Assumptions!F$204&lt;Account_Register!$W$23,0,IF(Assumptions!F$204=Account_Register!$W$23,Account_Register!$I$23*Account_Register!$V$23,IF(MOD(Assumptions!F$204-Account_Register!$W$23,12)=0,Assumptions!$C$137*ROUND(MAX(E46*(1+Assumptions!$F$184),0.95*E67)/10000,0)*10000,E46)))</f>
        <v>0</v>
      </c>
      <c r="G46" s="65" t="n">
        <f aca="false">IF(Assumptions!G$204&lt;Account_Register!$W$23,0,IF(Assumptions!G$204=Account_Register!$W$23,Account_Register!$I$23*Account_Register!$V$23,IF(MOD(Assumptions!G$204-Account_Register!$W$23,12)=0,Assumptions!$C$137*ROUND(MAX(F46*(1+Assumptions!$F$184),0.95*F67)/10000,0)*10000,F46)))</f>
        <v>0</v>
      </c>
      <c r="H46" s="65" t="n">
        <f aca="false">IF(Assumptions!H$204&lt;Account_Register!$W$23,0,IF(Assumptions!H$204=Account_Register!$W$23,Account_Register!$I$23*Account_Register!$V$23,IF(MOD(Assumptions!H$204-Account_Register!$W$23,12)=0,Assumptions!$C$137*ROUND(MAX(G46*(1+Assumptions!$F$184),0.95*G67)/10000,0)*10000,G46)))</f>
        <v>0</v>
      </c>
      <c r="I46" s="65" t="n">
        <f aca="false">IF(Assumptions!I$204&lt;Account_Register!$W$23,0,IF(Assumptions!I$204=Account_Register!$W$23,Account_Register!$I$23*Account_Register!$V$23,IF(MOD(Assumptions!I$204-Account_Register!$W$23,12)=0,Assumptions!$C$137*ROUND(MAX(H46*(1+Assumptions!$F$184),0.95*H67)/10000,0)*10000,H46)))</f>
        <v>0</v>
      </c>
      <c r="J46" s="65" t="n">
        <f aca="false">IF(Assumptions!J$204&lt;Account_Register!$W$23,0,IF(Assumptions!J$204=Account_Register!$W$23,Account_Register!$I$23*Account_Register!$V$23,IF(MOD(Assumptions!J$204-Account_Register!$W$23,12)=0,Assumptions!$C$137*ROUND(MAX(I46*(1+Assumptions!$F$184),0.95*I67)/10000,0)*10000,I46)))</f>
        <v>0</v>
      </c>
      <c r="K46" s="65" t="n">
        <f aca="false">IF(Assumptions!K$204&lt;Account_Register!$W$23,0,IF(Assumptions!K$204=Account_Register!$W$23,Account_Register!$I$23*Account_Register!$V$23,IF(MOD(Assumptions!K$204-Account_Register!$W$23,12)=0,Assumptions!$C$137*ROUND(MAX(J46*(1+Assumptions!$F$184),0.95*J67)/10000,0)*10000,J46)))</f>
        <v>0</v>
      </c>
      <c r="L46" s="65" t="n">
        <f aca="false">IF(Assumptions!L$204&lt;Account_Register!$W$23,0,IF(Assumptions!L$204=Account_Register!$W$23,Account_Register!$I$23*Account_Register!$V$23,IF(MOD(Assumptions!L$204-Account_Register!$W$23,12)=0,Assumptions!$C$137*ROUND(MAX(K46*(1+Assumptions!$F$184),0.95*K67)/10000,0)*10000,K46)))</f>
        <v>0</v>
      </c>
      <c r="M46" s="65" t="n">
        <f aca="false">IF(Assumptions!M$204&lt;Account_Register!$W$23,0,IF(Assumptions!M$204=Account_Register!$W$23,Account_Register!$I$23*Account_Register!$V$23,IF(MOD(Assumptions!M$204-Account_Register!$W$23,12)=0,Assumptions!$C$137*ROUND(MAX(L46*(1+Assumptions!$F$184),0.95*L67)/10000,0)*10000,L46)))</f>
        <v>0</v>
      </c>
      <c r="N46" s="65" t="n">
        <f aca="false">IF(Assumptions!N$204&lt;Account_Register!$W$23,0,IF(Assumptions!N$204=Account_Register!$W$23,Account_Register!$I$23*Account_Register!$V$23,IF(MOD(Assumptions!N$204-Account_Register!$W$23,12)=0,Assumptions!$C$137*ROUND(MAX(M46*(1+Assumptions!$F$184),0.95*M67)/10000,0)*10000,M46)))</f>
        <v>0</v>
      </c>
      <c r="O46" s="65" t="n">
        <f aca="false">IF(Assumptions!O$204&lt;Account_Register!$W$23,0,IF(Assumptions!O$204=Account_Register!$W$23,Account_Register!$I$23*Account_Register!$V$23,IF(MOD(Assumptions!O$204-Account_Register!$W$23,12)=0,Assumptions!$C$137*ROUND(MAX(N46*(1+Assumptions!$F$184),0.95*N67)/10000,0)*10000,N46)))</f>
        <v>0</v>
      </c>
      <c r="P46" s="65" t="n">
        <f aca="false">IF(Assumptions!P$204&lt;Account_Register!$W$23,0,IF(Assumptions!P$204=Account_Register!$W$23,Account_Register!$I$23*Account_Register!$V$23,IF(MOD(Assumptions!P$204-Account_Register!$W$23,12)=0,Assumptions!$C$137*ROUND(MAX(O46*(1+Assumptions!$F$184),0.95*O67)/10000,0)*10000,O46)))</f>
        <v>120000</v>
      </c>
      <c r="Q46" s="65" t="n">
        <f aca="false">IF(Assumptions!Q$204&lt;Account_Register!$W$23,0,IF(Assumptions!Q$204=Account_Register!$W$23,Account_Register!$I$23*Account_Register!$V$23,IF(MOD(Assumptions!Q$204-Account_Register!$W$23,12)=0,Assumptions!$C$137*ROUND(MAX(P46*(1+Assumptions!$F$184),0.95*P67)/10000,0)*10000,P46)))</f>
        <v>120000</v>
      </c>
      <c r="R46" s="65" t="n">
        <f aca="false">IF(Assumptions!R$204&lt;Account_Register!$W$23,0,IF(Assumptions!R$204=Account_Register!$W$23,Account_Register!$I$23*Account_Register!$V$23,IF(MOD(Assumptions!R$204-Account_Register!$W$23,12)=0,Assumptions!$C$137*ROUND(MAX(Q46*(1+Assumptions!$F$184),0.95*Q67)/10000,0)*10000,Q46)))</f>
        <v>120000</v>
      </c>
      <c r="S46" s="65" t="n">
        <f aca="false">IF(Assumptions!S$204&lt;Account_Register!$W$23,0,IF(Assumptions!S$204=Account_Register!$W$23,Account_Register!$I$23*Account_Register!$V$23,IF(MOD(Assumptions!S$204-Account_Register!$W$23,12)=0,Assumptions!$C$137*ROUND(MAX(R46*(1+Assumptions!$F$184),0.95*R67)/10000,0)*10000,R46)))</f>
        <v>120000</v>
      </c>
      <c r="T46" s="65" t="n">
        <f aca="false">IF(Assumptions!T$204&lt;Account_Register!$W$23,0,IF(Assumptions!T$204=Account_Register!$W$23,Account_Register!$I$23*Account_Register!$V$23,IF(MOD(Assumptions!T$204-Account_Register!$W$23,12)=0,Assumptions!$C$137*ROUND(MAX(S46*(1+Assumptions!$F$184),0.95*S67)/10000,0)*10000,S46)))</f>
        <v>120000</v>
      </c>
      <c r="U46" s="65" t="n">
        <f aca="false">IF(Assumptions!U$204&lt;Account_Register!$W$23,0,IF(Assumptions!U$204=Account_Register!$W$23,Account_Register!$I$23*Account_Register!$V$23,IF(MOD(Assumptions!U$204-Account_Register!$W$23,12)=0,Assumptions!$C$137*ROUND(MAX(T46*(1+Assumptions!$F$184),0.95*T67)/10000,0)*10000,T46)))</f>
        <v>120000</v>
      </c>
      <c r="V46" s="65" t="n">
        <f aca="false">IF(Assumptions!V$204&lt;Account_Register!$W$23,0,IF(Assumptions!V$204=Account_Register!$W$23,Account_Register!$I$23*Account_Register!$V$23,IF(MOD(Assumptions!V$204-Account_Register!$W$23,12)=0,Assumptions!$C$137*ROUND(MAX(U46*(1+Assumptions!$F$184),0.95*U67)/10000,0)*10000,U46)))</f>
        <v>120000</v>
      </c>
      <c r="W46" s="65" t="n">
        <f aca="false">IF(Assumptions!W$204&lt;Account_Register!$W$23,0,IF(Assumptions!W$204=Account_Register!$W$23,Account_Register!$I$23*Account_Register!$V$23,IF(MOD(Assumptions!W$204-Account_Register!$W$23,12)=0,Assumptions!$C$137*ROUND(MAX(V46*(1+Assumptions!$F$184),0.95*V67)/10000,0)*10000,V46)))</f>
        <v>120000</v>
      </c>
      <c r="X46" s="65" t="n">
        <f aca="false">IF(Assumptions!X$204&lt;Account_Register!$W$23,0,IF(Assumptions!X$204=Account_Register!$W$23,Account_Register!$I$23*Account_Register!$V$23,IF(MOD(Assumptions!X$204-Account_Register!$W$23,12)=0,Assumptions!$C$137*ROUND(MAX(W46*(1+Assumptions!$F$184),0.95*W67)/10000,0)*10000,W46)))</f>
        <v>120000</v>
      </c>
      <c r="Y46" s="65" t="n">
        <f aca="false">IF(Assumptions!Y$204&lt;Account_Register!$W$23,0,IF(Assumptions!Y$204=Account_Register!$W$23,Account_Register!$I$23*Account_Register!$V$23,IF(MOD(Assumptions!Y$204-Account_Register!$W$23,12)=0,Assumptions!$C$137*ROUND(MAX(X46*(1+Assumptions!$F$184),0.95*X67)/10000,0)*10000,X46)))</f>
        <v>120000</v>
      </c>
      <c r="Z46" s="65" t="n">
        <f aca="false">IF(Assumptions!Z$204&lt;Account_Register!$W$23,0,IF(Assumptions!Z$204=Account_Register!$W$23,Account_Register!$I$23*Account_Register!$V$23,IF(MOD(Assumptions!Z$204-Account_Register!$W$23,12)=0,Assumptions!$C$137*ROUND(MAX(Y46*(1+Assumptions!$F$184),0.95*Y67)/10000,0)*10000,Y46)))</f>
        <v>120000</v>
      </c>
      <c r="AA46" s="65" t="n">
        <f aca="false">IF(Assumptions!AA$204&lt;Account_Register!$W$23,0,IF(Assumptions!AA$204=Account_Register!$W$23,Account_Register!$I$23*Account_Register!$V$23,IF(MOD(Assumptions!AA$204-Account_Register!$W$23,12)=0,Assumptions!$C$137*ROUND(MAX(Z46*(1+Assumptions!$F$184),0.95*Z67)/10000,0)*10000,Z46)))</f>
        <v>120000</v>
      </c>
      <c r="AB46" s="65" t="n">
        <f aca="false">IF(Assumptions!AB$204&lt;Account_Register!$W$23,0,IF(Assumptions!AB$204=Account_Register!$W$23,Account_Register!$I$23*Account_Register!$V$23,IF(MOD(Assumptions!AB$204-Account_Register!$W$23,12)=0,Assumptions!$C$137*ROUND(MAX(AA46*(1+Assumptions!$F$184),0.95*AA67)/10000,0)*10000,AA46)))</f>
        <v>119600</v>
      </c>
    </row>
    <row r="47" customFormat="false" ht="15" hidden="false" customHeight="false" outlineLevel="0" collapsed="false">
      <c r="A47" s="28" t="s">
        <v>931</v>
      </c>
      <c r="B47" s="62"/>
      <c r="C47" s="64" t="n">
        <f aca="false">P47</f>
        <v>0</v>
      </c>
      <c r="D47" s="64" t="n">
        <f aca="false">AB47</f>
        <v>168000</v>
      </c>
      <c r="E47" s="65" t="n">
        <f aca="false">IF(Assumptions!E$204&lt;Account_Register!$W$24,0,IF(Assumptions!E$204=Account_Register!$W$24,Account_Register!$I$24*Account_Register!$V$24,IF(MOD(Assumptions!E$204-Account_Register!$W$24,12)=0,Assumptions!$C$137*ROUND(MAX(0*(1+Assumptions!$F$184),0.95*0)/10000,0)*10000,0)))</f>
        <v>0</v>
      </c>
      <c r="F47" s="65" t="n">
        <f aca="false">IF(Assumptions!F$204&lt;Account_Register!$W$24,0,IF(Assumptions!F$204=Account_Register!$W$24,Account_Register!$I$24*Account_Register!$V$24,IF(MOD(Assumptions!F$204-Account_Register!$W$24,12)=0,Assumptions!$C$137*ROUND(MAX(E47*(1+Assumptions!$F$184),0.95*E68)/10000,0)*10000,E47)))</f>
        <v>0</v>
      </c>
      <c r="G47" s="65" t="n">
        <f aca="false">IF(Assumptions!G$204&lt;Account_Register!$W$24,0,IF(Assumptions!G$204=Account_Register!$W$24,Account_Register!$I$24*Account_Register!$V$24,IF(MOD(Assumptions!G$204-Account_Register!$W$24,12)=0,Assumptions!$C$137*ROUND(MAX(F47*(1+Assumptions!$F$184),0.95*F68)/10000,0)*10000,F47)))</f>
        <v>0</v>
      </c>
      <c r="H47" s="65" t="n">
        <f aca="false">IF(Assumptions!H$204&lt;Account_Register!$W$24,0,IF(Assumptions!H$204=Account_Register!$W$24,Account_Register!$I$24*Account_Register!$V$24,IF(MOD(Assumptions!H$204-Account_Register!$W$24,12)=0,Assumptions!$C$137*ROUND(MAX(G47*(1+Assumptions!$F$184),0.95*G68)/10000,0)*10000,G47)))</f>
        <v>0</v>
      </c>
      <c r="I47" s="65" t="n">
        <f aca="false">IF(Assumptions!I$204&lt;Account_Register!$W$24,0,IF(Assumptions!I$204=Account_Register!$W$24,Account_Register!$I$24*Account_Register!$V$24,IF(MOD(Assumptions!I$204-Account_Register!$W$24,12)=0,Assumptions!$C$137*ROUND(MAX(H47*(1+Assumptions!$F$184),0.95*H68)/10000,0)*10000,H47)))</f>
        <v>0</v>
      </c>
      <c r="J47" s="65" t="n">
        <f aca="false">IF(Assumptions!J$204&lt;Account_Register!$W$24,0,IF(Assumptions!J$204=Account_Register!$W$24,Account_Register!$I$24*Account_Register!$V$24,IF(MOD(Assumptions!J$204-Account_Register!$W$24,12)=0,Assumptions!$C$137*ROUND(MAX(I47*(1+Assumptions!$F$184),0.95*I68)/10000,0)*10000,I47)))</f>
        <v>0</v>
      </c>
      <c r="K47" s="65" t="n">
        <f aca="false">IF(Assumptions!K$204&lt;Account_Register!$W$24,0,IF(Assumptions!K$204=Account_Register!$W$24,Account_Register!$I$24*Account_Register!$V$24,IF(MOD(Assumptions!K$204-Account_Register!$W$24,12)=0,Assumptions!$C$137*ROUND(MAX(J47*(1+Assumptions!$F$184),0.95*J68)/10000,0)*10000,J47)))</f>
        <v>0</v>
      </c>
      <c r="L47" s="65" t="n">
        <f aca="false">IF(Assumptions!L$204&lt;Account_Register!$W$24,0,IF(Assumptions!L$204=Account_Register!$W$24,Account_Register!$I$24*Account_Register!$V$24,IF(MOD(Assumptions!L$204-Account_Register!$W$24,12)=0,Assumptions!$C$137*ROUND(MAX(K47*(1+Assumptions!$F$184),0.95*K68)/10000,0)*10000,K47)))</f>
        <v>0</v>
      </c>
      <c r="M47" s="65" t="n">
        <f aca="false">IF(Assumptions!M$204&lt;Account_Register!$W$24,0,IF(Assumptions!M$204=Account_Register!$W$24,Account_Register!$I$24*Account_Register!$V$24,IF(MOD(Assumptions!M$204-Account_Register!$W$24,12)=0,Assumptions!$C$137*ROUND(MAX(L47*(1+Assumptions!$F$184),0.95*L68)/10000,0)*10000,L47)))</f>
        <v>0</v>
      </c>
      <c r="N47" s="65" t="n">
        <f aca="false">IF(Assumptions!N$204&lt;Account_Register!$W$24,0,IF(Assumptions!N$204=Account_Register!$W$24,Account_Register!$I$24*Account_Register!$V$24,IF(MOD(Assumptions!N$204-Account_Register!$W$24,12)=0,Assumptions!$C$137*ROUND(MAX(M47*(1+Assumptions!$F$184),0.95*M68)/10000,0)*10000,M47)))</f>
        <v>0</v>
      </c>
      <c r="O47" s="65" t="n">
        <f aca="false">IF(Assumptions!O$204&lt;Account_Register!$W$24,0,IF(Assumptions!O$204=Account_Register!$W$24,Account_Register!$I$24*Account_Register!$V$24,IF(MOD(Assumptions!O$204-Account_Register!$W$24,12)=0,Assumptions!$C$137*ROUND(MAX(N47*(1+Assumptions!$F$184),0.95*N68)/10000,0)*10000,N47)))</f>
        <v>0</v>
      </c>
      <c r="P47" s="65" t="n">
        <f aca="false">IF(Assumptions!P$204&lt;Account_Register!$W$24,0,IF(Assumptions!P$204=Account_Register!$W$24,Account_Register!$I$24*Account_Register!$V$24,IF(MOD(Assumptions!P$204-Account_Register!$W$24,12)=0,Assumptions!$C$137*ROUND(MAX(O47*(1+Assumptions!$F$184),0.95*O68)/10000,0)*10000,O47)))</f>
        <v>0</v>
      </c>
      <c r="Q47" s="65" t="n">
        <f aca="false">IF(Assumptions!Q$204&lt;Account_Register!$W$24,0,IF(Assumptions!Q$204=Account_Register!$W$24,Account_Register!$I$24*Account_Register!$V$24,IF(MOD(Assumptions!Q$204-Account_Register!$W$24,12)=0,Assumptions!$C$137*ROUND(MAX(P47*(1+Assumptions!$F$184),0.95*P68)/10000,0)*10000,P47)))</f>
        <v>0</v>
      </c>
      <c r="R47" s="65" t="n">
        <f aca="false">IF(Assumptions!R$204&lt;Account_Register!$W$24,0,IF(Assumptions!R$204=Account_Register!$W$24,Account_Register!$I$24*Account_Register!$V$24,IF(MOD(Assumptions!R$204-Account_Register!$W$24,12)=0,Assumptions!$C$137*ROUND(MAX(Q47*(1+Assumptions!$F$184),0.95*Q68)/10000,0)*10000,Q47)))</f>
        <v>168000</v>
      </c>
      <c r="S47" s="65" t="n">
        <f aca="false">IF(Assumptions!S$204&lt;Account_Register!$W$24,0,IF(Assumptions!S$204=Account_Register!$W$24,Account_Register!$I$24*Account_Register!$V$24,IF(MOD(Assumptions!S$204-Account_Register!$W$24,12)=0,Assumptions!$C$137*ROUND(MAX(R47*(1+Assumptions!$F$184),0.95*R68)/10000,0)*10000,R47)))</f>
        <v>168000</v>
      </c>
      <c r="T47" s="65" t="n">
        <f aca="false">IF(Assumptions!T$204&lt;Account_Register!$W$24,0,IF(Assumptions!T$204=Account_Register!$W$24,Account_Register!$I$24*Account_Register!$V$24,IF(MOD(Assumptions!T$204-Account_Register!$W$24,12)=0,Assumptions!$C$137*ROUND(MAX(S47*(1+Assumptions!$F$184),0.95*S68)/10000,0)*10000,S47)))</f>
        <v>168000</v>
      </c>
      <c r="U47" s="65" t="n">
        <f aca="false">IF(Assumptions!U$204&lt;Account_Register!$W$24,0,IF(Assumptions!U$204=Account_Register!$W$24,Account_Register!$I$24*Account_Register!$V$24,IF(MOD(Assumptions!U$204-Account_Register!$W$24,12)=0,Assumptions!$C$137*ROUND(MAX(T47*(1+Assumptions!$F$184),0.95*T68)/10000,0)*10000,T47)))</f>
        <v>168000</v>
      </c>
      <c r="V47" s="65" t="n">
        <f aca="false">IF(Assumptions!V$204&lt;Account_Register!$W$24,0,IF(Assumptions!V$204=Account_Register!$W$24,Account_Register!$I$24*Account_Register!$V$24,IF(MOD(Assumptions!V$204-Account_Register!$W$24,12)=0,Assumptions!$C$137*ROUND(MAX(U47*(1+Assumptions!$F$184),0.95*U68)/10000,0)*10000,U47)))</f>
        <v>168000</v>
      </c>
      <c r="W47" s="65" t="n">
        <f aca="false">IF(Assumptions!W$204&lt;Account_Register!$W$24,0,IF(Assumptions!W$204=Account_Register!$W$24,Account_Register!$I$24*Account_Register!$V$24,IF(MOD(Assumptions!W$204-Account_Register!$W$24,12)=0,Assumptions!$C$137*ROUND(MAX(V47*(1+Assumptions!$F$184),0.95*V68)/10000,0)*10000,V47)))</f>
        <v>168000</v>
      </c>
      <c r="X47" s="65" t="n">
        <f aca="false">IF(Assumptions!X$204&lt;Account_Register!$W$24,0,IF(Assumptions!X$204=Account_Register!$W$24,Account_Register!$I$24*Account_Register!$V$24,IF(MOD(Assumptions!X$204-Account_Register!$W$24,12)=0,Assumptions!$C$137*ROUND(MAX(W47*(1+Assumptions!$F$184),0.95*W68)/10000,0)*10000,W47)))</f>
        <v>168000</v>
      </c>
      <c r="Y47" s="65" t="n">
        <f aca="false">IF(Assumptions!Y$204&lt;Account_Register!$W$24,0,IF(Assumptions!Y$204=Account_Register!$W$24,Account_Register!$I$24*Account_Register!$V$24,IF(MOD(Assumptions!Y$204-Account_Register!$W$24,12)=0,Assumptions!$C$137*ROUND(MAX(X47*(1+Assumptions!$F$184),0.95*X68)/10000,0)*10000,X47)))</f>
        <v>168000</v>
      </c>
      <c r="Z47" s="65" t="n">
        <f aca="false">IF(Assumptions!Z$204&lt;Account_Register!$W$24,0,IF(Assumptions!Z$204=Account_Register!$W$24,Account_Register!$I$24*Account_Register!$V$24,IF(MOD(Assumptions!Z$204-Account_Register!$W$24,12)=0,Assumptions!$C$137*ROUND(MAX(Y47*(1+Assumptions!$F$184),0.95*Y68)/10000,0)*10000,Y47)))</f>
        <v>168000</v>
      </c>
      <c r="AA47" s="65" t="n">
        <f aca="false">IF(Assumptions!AA$204&lt;Account_Register!$W$24,0,IF(Assumptions!AA$204=Account_Register!$W$24,Account_Register!$I$24*Account_Register!$V$24,IF(MOD(Assumptions!AA$204-Account_Register!$W$24,12)=0,Assumptions!$C$137*ROUND(MAX(Z47*(1+Assumptions!$F$184),0.95*Z68)/10000,0)*10000,Z47)))</f>
        <v>168000</v>
      </c>
      <c r="AB47" s="65" t="n">
        <f aca="false">IF(Assumptions!AB$204&lt;Account_Register!$W$24,0,IF(Assumptions!AB$204=Account_Register!$W$24,Account_Register!$I$24*Account_Register!$V$24,IF(MOD(Assumptions!AB$204-Account_Register!$W$24,12)=0,Assumptions!$C$137*ROUND(MAX(AA47*(1+Assumptions!$F$184),0.95*AA68)/10000,0)*10000,AA47)))</f>
        <v>168000</v>
      </c>
    </row>
    <row r="48" customFormat="false" ht="15" hidden="false" customHeight="false" outlineLevel="0" collapsed="false">
      <c r="A48" s="28" t="s">
        <v>932</v>
      </c>
      <c r="B48" s="62"/>
      <c r="C48" s="64" t="n">
        <f aca="false">P48</f>
        <v>0</v>
      </c>
      <c r="D48" s="64" t="n">
        <f aca="false">AB48</f>
        <v>90000</v>
      </c>
      <c r="E48" s="65" t="n">
        <f aca="false">IF(Assumptions!E$204&lt;Account_Register!$W$25,0,IF(Assumptions!E$204=Account_Register!$W$25,Account_Register!$I$25*Account_Register!$V$25,IF(MOD(Assumptions!E$204-Account_Register!$W$25,12)=0,Assumptions!$C$137*ROUND(MAX(0*(1+Assumptions!$F$184),0.95*0)/10000,0)*10000,0)))</f>
        <v>0</v>
      </c>
      <c r="F48" s="65" t="n">
        <f aca="false">IF(Assumptions!F$204&lt;Account_Register!$W$25,0,IF(Assumptions!F$204=Account_Register!$W$25,Account_Register!$I$25*Account_Register!$V$25,IF(MOD(Assumptions!F$204-Account_Register!$W$25,12)=0,Assumptions!$C$137*ROUND(MAX(E48*(1+Assumptions!$F$184),0.95*E69)/10000,0)*10000,E48)))</f>
        <v>0</v>
      </c>
      <c r="G48" s="65" t="n">
        <f aca="false">IF(Assumptions!G$204&lt;Account_Register!$W$25,0,IF(Assumptions!G$204=Account_Register!$W$25,Account_Register!$I$25*Account_Register!$V$25,IF(MOD(Assumptions!G$204-Account_Register!$W$25,12)=0,Assumptions!$C$137*ROUND(MAX(F48*(1+Assumptions!$F$184),0.95*F69)/10000,0)*10000,F48)))</f>
        <v>0</v>
      </c>
      <c r="H48" s="65" t="n">
        <f aca="false">IF(Assumptions!H$204&lt;Account_Register!$W$25,0,IF(Assumptions!H$204=Account_Register!$W$25,Account_Register!$I$25*Account_Register!$V$25,IF(MOD(Assumptions!H$204-Account_Register!$W$25,12)=0,Assumptions!$C$137*ROUND(MAX(G48*(1+Assumptions!$F$184),0.95*G69)/10000,0)*10000,G48)))</f>
        <v>0</v>
      </c>
      <c r="I48" s="65" t="n">
        <f aca="false">IF(Assumptions!I$204&lt;Account_Register!$W$25,0,IF(Assumptions!I$204=Account_Register!$W$25,Account_Register!$I$25*Account_Register!$V$25,IF(MOD(Assumptions!I$204-Account_Register!$W$25,12)=0,Assumptions!$C$137*ROUND(MAX(H48*(1+Assumptions!$F$184),0.95*H69)/10000,0)*10000,H48)))</f>
        <v>0</v>
      </c>
      <c r="J48" s="65" t="n">
        <f aca="false">IF(Assumptions!J$204&lt;Account_Register!$W$25,0,IF(Assumptions!J$204=Account_Register!$W$25,Account_Register!$I$25*Account_Register!$V$25,IF(MOD(Assumptions!J$204-Account_Register!$W$25,12)=0,Assumptions!$C$137*ROUND(MAX(I48*(1+Assumptions!$F$184),0.95*I69)/10000,0)*10000,I48)))</f>
        <v>0</v>
      </c>
      <c r="K48" s="65" t="n">
        <f aca="false">IF(Assumptions!K$204&lt;Account_Register!$W$25,0,IF(Assumptions!K$204=Account_Register!$W$25,Account_Register!$I$25*Account_Register!$V$25,IF(MOD(Assumptions!K$204-Account_Register!$W$25,12)=0,Assumptions!$C$137*ROUND(MAX(J48*(1+Assumptions!$F$184),0.95*J69)/10000,0)*10000,J48)))</f>
        <v>0</v>
      </c>
      <c r="L48" s="65" t="n">
        <f aca="false">IF(Assumptions!L$204&lt;Account_Register!$W$25,0,IF(Assumptions!L$204=Account_Register!$W$25,Account_Register!$I$25*Account_Register!$V$25,IF(MOD(Assumptions!L$204-Account_Register!$W$25,12)=0,Assumptions!$C$137*ROUND(MAX(K48*(1+Assumptions!$F$184),0.95*K69)/10000,0)*10000,K48)))</f>
        <v>0</v>
      </c>
      <c r="M48" s="65" t="n">
        <f aca="false">IF(Assumptions!M$204&lt;Account_Register!$W$25,0,IF(Assumptions!M$204=Account_Register!$W$25,Account_Register!$I$25*Account_Register!$V$25,IF(MOD(Assumptions!M$204-Account_Register!$W$25,12)=0,Assumptions!$C$137*ROUND(MAX(L48*(1+Assumptions!$F$184),0.95*L69)/10000,0)*10000,L48)))</f>
        <v>0</v>
      </c>
      <c r="N48" s="65" t="n">
        <f aca="false">IF(Assumptions!N$204&lt;Account_Register!$W$25,0,IF(Assumptions!N$204=Account_Register!$W$25,Account_Register!$I$25*Account_Register!$V$25,IF(MOD(Assumptions!N$204-Account_Register!$W$25,12)=0,Assumptions!$C$137*ROUND(MAX(M48*(1+Assumptions!$F$184),0.95*M69)/10000,0)*10000,M48)))</f>
        <v>0</v>
      </c>
      <c r="O48" s="65" t="n">
        <f aca="false">IF(Assumptions!O$204&lt;Account_Register!$W$25,0,IF(Assumptions!O$204=Account_Register!$W$25,Account_Register!$I$25*Account_Register!$V$25,IF(MOD(Assumptions!O$204-Account_Register!$W$25,12)=0,Assumptions!$C$137*ROUND(MAX(N48*(1+Assumptions!$F$184),0.95*N69)/10000,0)*10000,N48)))</f>
        <v>0</v>
      </c>
      <c r="P48" s="65" t="n">
        <f aca="false">IF(Assumptions!P$204&lt;Account_Register!$W$25,0,IF(Assumptions!P$204=Account_Register!$W$25,Account_Register!$I$25*Account_Register!$V$25,IF(MOD(Assumptions!P$204-Account_Register!$W$25,12)=0,Assumptions!$C$137*ROUND(MAX(O48*(1+Assumptions!$F$184),0.95*O69)/10000,0)*10000,O48)))</f>
        <v>0</v>
      </c>
      <c r="Q48" s="65" t="n">
        <f aca="false">IF(Assumptions!Q$204&lt;Account_Register!$W$25,0,IF(Assumptions!Q$204=Account_Register!$W$25,Account_Register!$I$25*Account_Register!$V$25,IF(MOD(Assumptions!Q$204-Account_Register!$W$25,12)=0,Assumptions!$C$137*ROUND(MAX(P48*(1+Assumptions!$F$184),0.95*P69)/10000,0)*10000,P48)))</f>
        <v>0</v>
      </c>
      <c r="R48" s="65" t="n">
        <f aca="false">IF(Assumptions!R$204&lt;Account_Register!$W$25,0,IF(Assumptions!R$204=Account_Register!$W$25,Account_Register!$I$25*Account_Register!$V$25,IF(MOD(Assumptions!R$204-Account_Register!$W$25,12)=0,Assumptions!$C$137*ROUND(MAX(Q48*(1+Assumptions!$F$184),0.95*Q69)/10000,0)*10000,Q48)))</f>
        <v>0</v>
      </c>
      <c r="S48" s="65" t="n">
        <f aca="false">IF(Assumptions!S$204&lt;Account_Register!$W$25,0,IF(Assumptions!S$204=Account_Register!$W$25,Account_Register!$I$25*Account_Register!$V$25,IF(MOD(Assumptions!S$204-Account_Register!$W$25,12)=0,Assumptions!$C$137*ROUND(MAX(R48*(1+Assumptions!$F$184),0.95*R69)/10000,0)*10000,R48)))</f>
        <v>90000</v>
      </c>
      <c r="T48" s="65" t="n">
        <f aca="false">IF(Assumptions!T$204&lt;Account_Register!$W$25,0,IF(Assumptions!T$204=Account_Register!$W$25,Account_Register!$I$25*Account_Register!$V$25,IF(MOD(Assumptions!T$204-Account_Register!$W$25,12)=0,Assumptions!$C$137*ROUND(MAX(S48*(1+Assumptions!$F$184),0.95*S69)/10000,0)*10000,S48)))</f>
        <v>90000</v>
      </c>
      <c r="U48" s="65" t="n">
        <f aca="false">IF(Assumptions!U$204&lt;Account_Register!$W$25,0,IF(Assumptions!U$204=Account_Register!$W$25,Account_Register!$I$25*Account_Register!$V$25,IF(MOD(Assumptions!U$204-Account_Register!$W$25,12)=0,Assumptions!$C$137*ROUND(MAX(T48*(1+Assumptions!$F$184),0.95*T69)/10000,0)*10000,T48)))</f>
        <v>90000</v>
      </c>
      <c r="V48" s="65" t="n">
        <f aca="false">IF(Assumptions!V$204&lt;Account_Register!$W$25,0,IF(Assumptions!V$204=Account_Register!$W$25,Account_Register!$I$25*Account_Register!$V$25,IF(MOD(Assumptions!V$204-Account_Register!$W$25,12)=0,Assumptions!$C$137*ROUND(MAX(U48*(1+Assumptions!$F$184),0.95*U69)/10000,0)*10000,U48)))</f>
        <v>90000</v>
      </c>
      <c r="W48" s="65" t="n">
        <f aca="false">IF(Assumptions!W$204&lt;Account_Register!$W$25,0,IF(Assumptions!W$204=Account_Register!$W$25,Account_Register!$I$25*Account_Register!$V$25,IF(MOD(Assumptions!W$204-Account_Register!$W$25,12)=0,Assumptions!$C$137*ROUND(MAX(V48*(1+Assumptions!$F$184),0.95*V69)/10000,0)*10000,V48)))</f>
        <v>90000</v>
      </c>
      <c r="X48" s="65" t="n">
        <f aca="false">IF(Assumptions!X$204&lt;Account_Register!$W$25,0,IF(Assumptions!X$204=Account_Register!$W$25,Account_Register!$I$25*Account_Register!$V$25,IF(MOD(Assumptions!X$204-Account_Register!$W$25,12)=0,Assumptions!$C$137*ROUND(MAX(W48*(1+Assumptions!$F$184),0.95*W69)/10000,0)*10000,W48)))</f>
        <v>90000</v>
      </c>
      <c r="Y48" s="65" t="n">
        <f aca="false">IF(Assumptions!Y$204&lt;Account_Register!$W$25,0,IF(Assumptions!Y$204=Account_Register!$W$25,Account_Register!$I$25*Account_Register!$V$25,IF(MOD(Assumptions!Y$204-Account_Register!$W$25,12)=0,Assumptions!$C$137*ROUND(MAX(X48*(1+Assumptions!$F$184),0.95*X69)/10000,0)*10000,X48)))</f>
        <v>90000</v>
      </c>
      <c r="Z48" s="65" t="n">
        <f aca="false">IF(Assumptions!Z$204&lt;Account_Register!$W$25,0,IF(Assumptions!Z$204=Account_Register!$W$25,Account_Register!$I$25*Account_Register!$V$25,IF(MOD(Assumptions!Z$204-Account_Register!$W$25,12)=0,Assumptions!$C$137*ROUND(MAX(Y48*(1+Assumptions!$F$184),0.95*Y69)/10000,0)*10000,Y48)))</f>
        <v>90000</v>
      </c>
      <c r="AA48" s="65" t="n">
        <f aca="false">IF(Assumptions!AA$204&lt;Account_Register!$W$25,0,IF(Assumptions!AA$204=Account_Register!$W$25,Account_Register!$I$25*Account_Register!$V$25,IF(MOD(Assumptions!AA$204-Account_Register!$W$25,12)=0,Assumptions!$C$137*ROUND(MAX(Z48*(1+Assumptions!$F$184),0.95*Z69)/10000,0)*10000,Z48)))</f>
        <v>90000</v>
      </c>
      <c r="AB48" s="65" t="n">
        <f aca="false">IF(Assumptions!AB$204&lt;Account_Register!$W$25,0,IF(Assumptions!AB$204=Account_Register!$W$25,Account_Register!$I$25*Account_Register!$V$25,IF(MOD(Assumptions!AB$204-Account_Register!$W$25,12)=0,Assumptions!$C$137*ROUND(MAX(AA48*(1+Assumptions!$F$184),0.95*AA69)/10000,0)*10000,AA48)))</f>
        <v>90000</v>
      </c>
    </row>
    <row r="49" customFormat="false" ht="15" hidden="false" customHeight="false" outlineLevel="0" collapsed="false">
      <c r="A49" s="28" t="s">
        <v>933</v>
      </c>
      <c r="B49" s="62"/>
      <c r="C49" s="64" t="n">
        <f aca="false">P49</f>
        <v>0</v>
      </c>
      <c r="D49" s="64" t="n">
        <f aca="false">AB49</f>
        <v>135000</v>
      </c>
      <c r="E49" s="65" t="n">
        <f aca="false">IF(Assumptions!E$204&lt;Account_Register!$W$26,0,IF(Assumptions!E$204=Account_Register!$W$26,Account_Register!$I$26*Account_Register!$V$26,IF(MOD(Assumptions!E$204-Account_Register!$W$26,12)=0,Assumptions!$C$137*ROUND(MAX(0*(1+Assumptions!$F$184),0.95*0)/10000,0)*10000,0)))</f>
        <v>0</v>
      </c>
      <c r="F49" s="65" t="n">
        <f aca="false">IF(Assumptions!F$204&lt;Account_Register!$W$26,0,IF(Assumptions!F$204=Account_Register!$W$26,Account_Register!$I$26*Account_Register!$V$26,IF(MOD(Assumptions!F$204-Account_Register!$W$26,12)=0,Assumptions!$C$137*ROUND(MAX(E49*(1+Assumptions!$F$184),0.95*E70)/10000,0)*10000,E49)))</f>
        <v>0</v>
      </c>
      <c r="G49" s="65" t="n">
        <f aca="false">IF(Assumptions!G$204&lt;Account_Register!$W$26,0,IF(Assumptions!G$204=Account_Register!$W$26,Account_Register!$I$26*Account_Register!$V$26,IF(MOD(Assumptions!G$204-Account_Register!$W$26,12)=0,Assumptions!$C$137*ROUND(MAX(F49*(1+Assumptions!$F$184),0.95*F70)/10000,0)*10000,F49)))</f>
        <v>0</v>
      </c>
      <c r="H49" s="65" t="n">
        <f aca="false">IF(Assumptions!H$204&lt;Account_Register!$W$26,0,IF(Assumptions!H$204=Account_Register!$W$26,Account_Register!$I$26*Account_Register!$V$26,IF(MOD(Assumptions!H$204-Account_Register!$W$26,12)=0,Assumptions!$C$137*ROUND(MAX(G49*(1+Assumptions!$F$184),0.95*G70)/10000,0)*10000,G49)))</f>
        <v>0</v>
      </c>
      <c r="I49" s="65" t="n">
        <f aca="false">IF(Assumptions!I$204&lt;Account_Register!$W$26,0,IF(Assumptions!I$204=Account_Register!$W$26,Account_Register!$I$26*Account_Register!$V$26,IF(MOD(Assumptions!I$204-Account_Register!$W$26,12)=0,Assumptions!$C$137*ROUND(MAX(H49*(1+Assumptions!$F$184),0.95*H70)/10000,0)*10000,H49)))</f>
        <v>0</v>
      </c>
      <c r="J49" s="65" t="n">
        <f aca="false">IF(Assumptions!J$204&lt;Account_Register!$W$26,0,IF(Assumptions!J$204=Account_Register!$W$26,Account_Register!$I$26*Account_Register!$V$26,IF(MOD(Assumptions!J$204-Account_Register!$W$26,12)=0,Assumptions!$C$137*ROUND(MAX(I49*(1+Assumptions!$F$184),0.95*I70)/10000,0)*10000,I49)))</f>
        <v>0</v>
      </c>
      <c r="K49" s="65" t="n">
        <f aca="false">IF(Assumptions!K$204&lt;Account_Register!$W$26,0,IF(Assumptions!K$204=Account_Register!$W$26,Account_Register!$I$26*Account_Register!$V$26,IF(MOD(Assumptions!K$204-Account_Register!$W$26,12)=0,Assumptions!$C$137*ROUND(MAX(J49*(1+Assumptions!$F$184),0.95*J70)/10000,0)*10000,J49)))</f>
        <v>0</v>
      </c>
      <c r="L49" s="65" t="n">
        <f aca="false">IF(Assumptions!L$204&lt;Account_Register!$W$26,0,IF(Assumptions!L$204=Account_Register!$W$26,Account_Register!$I$26*Account_Register!$V$26,IF(MOD(Assumptions!L$204-Account_Register!$W$26,12)=0,Assumptions!$C$137*ROUND(MAX(K49*(1+Assumptions!$F$184),0.95*K70)/10000,0)*10000,K49)))</f>
        <v>0</v>
      </c>
      <c r="M49" s="65" t="n">
        <f aca="false">IF(Assumptions!M$204&lt;Account_Register!$W$26,0,IF(Assumptions!M$204=Account_Register!$W$26,Account_Register!$I$26*Account_Register!$V$26,IF(MOD(Assumptions!M$204-Account_Register!$W$26,12)=0,Assumptions!$C$137*ROUND(MAX(L49*(1+Assumptions!$F$184),0.95*L70)/10000,0)*10000,L49)))</f>
        <v>0</v>
      </c>
      <c r="N49" s="65" t="n">
        <f aca="false">IF(Assumptions!N$204&lt;Account_Register!$W$26,0,IF(Assumptions!N$204=Account_Register!$W$26,Account_Register!$I$26*Account_Register!$V$26,IF(MOD(Assumptions!N$204-Account_Register!$W$26,12)=0,Assumptions!$C$137*ROUND(MAX(M49*(1+Assumptions!$F$184),0.95*M70)/10000,0)*10000,M49)))</f>
        <v>0</v>
      </c>
      <c r="O49" s="65" t="n">
        <f aca="false">IF(Assumptions!O$204&lt;Account_Register!$W$26,0,IF(Assumptions!O$204=Account_Register!$W$26,Account_Register!$I$26*Account_Register!$V$26,IF(MOD(Assumptions!O$204-Account_Register!$W$26,12)=0,Assumptions!$C$137*ROUND(MAX(N49*(1+Assumptions!$F$184),0.95*N70)/10000,0)*10000,N49)))</f>
        <v>0</v>
      </c>
      <c r="P49" s="65" t="n">
        <f aca="false">IF(Assumptions!P$204&lt;Account_Register!$W$26,0,IF(Assumptions!P$204=Account_Register!$W$26,Account_Register!$I$26*Account_Register!$V$26,IF(MOD(Assumptions!P$204-Account_Register!$W$26,12)=0,Assumptions!$C$137*ROUND(MAX(O49*(1+Assumptions!$F$184),0.95*O70)/10000,0)*10000,O49)))</f>
        <v>0</v>
      </c>
      <c r="Q49" s="65" t="n">
        <f aca="false">IF(Assumptions!Q$204&lt;Account_Register!$W$26,0,IF(Assumptions!Q$204=Account_Register!$W$26,Account_Register!$I$26*Account_Register!$V$26,IF(MOD(Assumptions!Q$204-Account_Register!$W$26,12)=0,Assumptions!$C$137*ROUND(MAX(P49*(1+Assumptions!$F$184),0.95*P70)/10000,0)*10000,P49)))</f>
        <v>0</v>
      </c>
      <c r="R49" s="65" t="n">
        <f aca="false">IF(Assumptions!R$204&lt;Account_Register!$W$26,0,IF(Assumptions!R$204=Account_Register!$W$26,Account_Register!$I$26*Account_Register!$V$26,IF(MOD(Assumptions!R$204-Account_Register!$W$26,12)=0,Assumptions!$C$137*ROUND(MAX(Q49*(1+Assumptions!$F$184),0.95*Q70)/10000,0)*10000,Q49)))</f>
        <v>0</v>
      </c>
      <c r="S49" s="65" t="n">
        <f aca="false">IF(Assumptions!S$204&lt;Account_Register!$W$26,0,IF(Assumptions!S$204=Account_Register!$W$26,Account_Register!$I$26*Account_Register!$V$26,IF(MOD(Assumptions!S$204-Account_Register!$W$26,12)=0,Assumptions!$C$137*ROUND(MAX(R49*(1+Assumptions!$F$184),0.95*R70)/10000,0)*10000,R49)))</f>
        <v>0</v>
      </c>
      <c r="T49" s="65" t="n">
        <f aca="false">IF(Assumptions!T$204&lt;Account_Register!$W$26,0,IF(Assumptions!T$204=Account_Register!$W$26,Account_Register!$I$26*Account_Register!$V$26,IF(MOD(Assumptions!T$204-Account_Register!$W$26,12)=0,Assumptions!$C$137*ROUND(MAX(S49*(1+Assumptions!$F$184),0.95*S70)/10000,0)*10000,S49)))</f>
        <v>0</v>
      </c>
      <c r="U49" s="65" t="n">
        <f aca="false">IF(Assumptions!U$204&lt;Account_Register!$W$26,0,IF(Assumptions!U$204=Account_Register!$W$26,Account_Register!$I$26*Account_Register!$V$26,IF(MOD(Assumptions!U$204-Account_Register!$W$26,12)=0,Assumptions!$C$137*ROUND(MAX(T49*(1+Assumptions!$F$184),0.95*T70)/10000,0)*10000,T49)))</f>
        <v>135000</v>
      </c>
      <c r="V49" s="65" t="n">
        <f aca="false">IF(Assumptions!V$204&lt;Account_Register!$W$26,0,IF(Assumptions!V$204=Account_Register!$W$26,Account_Register!$I$26*Account_Register!$V$26,IF(MOD(Assumptions!V$204-Account_Register!$W$26,12)=0,Assumptions!$C$137*ROUND(MAX(U49*(1+Assumptions!$F$184),0.95*U70)/10000,0)*10000,U49)))</f>
        <v>135000</v>
      </c>
      <c r="W49" s="65" t="n">
        <f aca="false">IF(Assumptions!W$204&lt;Account_Register!$W$26,0,IF(Assumptions!W$204=Account_Register!$W$26,Account_Register!$I$26*Account_Register!$V$26,IF(MOD(Assumptions!W$204-Account_Register!$W$26,12)=0,Assumptions!$C$137*ROUND(MAX(V49*(1+Assumptions!$F$184),0.95*V70)/10000,0)*10000,V49)))</f>
        <v>135000</v>
      </c>
      <c r="X49" s="65" t="n">
        <f aca="false">IF(Assumptions!X$204&lt;Account_Register!$W$26,0,IF(Assumptions!X$204=Account_Register!$W$26,Account_Register!$I$26*Account_Register!$V$26,IF(MOD(Assumptions!X$204-Account_Register!$W$26,12)=0,Assumptions!$C$137*ROUND(MAX(W49*(1+Assumptions!$F$184),0.95*W70)/10000,0)*10000,W49)))</f>
        <v>135000</v>
      </c>
      <c r="Y49" s="65" t="n">
        <f aca="false">IF(Assumptions!Y$204&lt;Account_Register!$W$26,0,IF(Assumptions!Y$204=Account_Register!$W$26,Account_Register!$I$26*Account_Register!$V$26,IF(MOD(Assumptions!Y$204-Account_Register!$W$26,12)=0,Assumptions!$C$137*ROUND(MAX(X49*(1+Assumptions!$F$184),0.95*X70)/10000,0)*10000,X49)))</f>
        <v>135000</v>
      </c>
      <c r="Z49" s="65" t="n">
        <f aca="false">IF(Assumptions!Z$204&lt;Account_Register!$W$26,0,IF(Assumptions!Z$204=Account_Register!$W$26,Account_Register!$I$26*Account_Register!$V$26,IF(MOD(Assumptions!Z$204-Account_Register!$W$26,12)=0,Assumptions!$C$137*ROUND(MAX(Y49*(1+Assumptions!$F$184),0.95*Y70)/10000,0)*10000,Y49)))</f>
        <v>135000</v>
      </c>
      <c r="AA49" s="65" t="n">
        <f aca="false">IF(Assumptions!AA$204&lt;Account_Register!$W$26,0,IF(Assumptions!AA$204=Account_Register!$W$26,Account_Register!$I$26*Account_Register!$V$26,IF(MOD(Assumptions!AA$204-Account_Register!$W$26,12)=0,Assumptions!$C$137*ROUND(MAX(Z49*(1+Assumptions!$F$184),0.95*Z70)/10000,0)*10000,Z49)))</f>
        <v>135000</v>
      </c>
      <c r="AB49" s="65" t="n">
        <f aca="false">IF(Assumptions!AB$204&lt;Account_Register!$W$26,0,IF(Assumptions!AB$204=Account_Register!$W$26,Account_Register!$I$26*Account_Register!$V$26,IF(MOD(Assumptions!AB$204-Account_Register!$W$26,12)=0,Assumptions!$C$137*ROUND(MAX(AA49*(1+Assumptions!$F$184),0.95*AA70)/10000,0)*10000,AA49)))</f>
        <v>135000</v>
      </c>
    </row>
    <row r="50" customFormat="false" ht="15" hidden="false" customHeight="false" outlineLevel="0" collapsed="false">
      <c r="A50" s="22" t="s">
        <v>934</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customFormat="false" ht="15" hidden="false" customHeight="false" outlineLevel="0" collapsed="false">
      <c r="A51" s="28" t="s">
        <v>913</v>
      </c>
      <c r="B51" s="62"/>
      <c r="C51" s="64" t="n">
        <f aca="false">P51</f>
        <v>286918.396371097</v>
      </c>
      <c r="D51" s="64" t="n">
        <f aca="false">AB51</f>
        <v>344267.521768568</v>
      </c>
      <c r="E51" s="65" t="n">
        <f aca="false">Account_Register!$K$7+E9</f>
        <v>240341.09</v>
      </c>
      <c r="F51" s="73" t="n">
        <f aca="false">E51+F9</f>
        <v>270158.4</v>
      </c>
      <c r="G51" s="73" t="n">
        <f aca="false">F51+G9</f>
        <v>299641.55</v>
      </c>
      <c r="H51" s="73" t="n">
        <f aca="false">G51+H9</f>
        <v>331999.77</v>
      </c>
      <c r="I51" s="73" t="n">
        <f aca="false">H51+I9</f>
        <v>365059.34</v>
      </c>
      <c r="J51" s="73" t="n">
        <f aca="false">J9</f>
        <v>35682.11</v>
      </c>
      <c r="K51" s="73" t="n">
        <f aca="false">J51+K9</f>
        <v>76630.28</v>
      </c>
      <c r="L51" s="73" t="n">
        <f aca="false">K51+L9</f>
        <v>116877.63</v>
      </c>
      <c r="M51" s="73" t="n">
        <f aca="false">L51+M9</f>
        <v>158010.4217</v>
      </c>
      <c r="N51" s="73" t="n">
        <f aca="false">M51+N9</f>
        <v>200048.1348174</v>
      </c>
      <c r="O51" s="73" t="n">
        <f aca="false">N51+O9</f>
        <v>243010.677623383</v>
      </c>
      <c r="P51" s="73" t="n">
        <f aca="false">O51+P9</f>
        <v>286918.396371097</v>
      </c>
      <c r="Q51" s="73" t="n">
        <f aca="false">P51+Q9</f>
        <v>331792.084931261</v>
      </c>
      <c r="R51" s="73" t="n">
        <f aca="false">Q51+R9</f>
        <v>377652.994639749</v>
      </c>
      <c r="S51" s="73" t="n">
        <f aca="false">R51+S9</f>
        <v>424522.844361824</v>
      </c>
      <c r="T51" s="73" t="n">
        <f aca="false">S51+T9</f>
        <v>472423.830777784</v>
      </c>
      <c r="U51" s="73" t="n">
        <f aca="false">T51+U9</f>
        <v>521378.638894895</v>
      </c>
      <c r="V51" s="73" t="n">
        <f aca="false">V9</f>
        <v>46029.2687840327</v>
      </c>
      <c r="W51" s="73" t="n">
        <f aca="false">V51+W9</f>
        <v>93071.1814813141</v>
      </c>
      <c r="X51" s="73" t="n">
        <f aca="false">W51+X9</f>
        <v>141148.016257936</v>
      </c>
      <c r="Y51" s="73" t="n">
        <f aca="false">X51+Y9</f>
        <v>190282.541399643</v>
      </c>
      <c r="Z51" s="73" t="n">
        <f aca="false">Y51+Z9</f>
        <v>240498.026094468</v>
      </c>
      <c r="AA51" s="73" t="n">
        <f aca="false">Z51+AA9</f>
        <v>291818.251452579</v>
      </c>
      <c r="AB51" s="73" t="n">
        <f aca="false">AA51+AB9</f>
        <v>344267.521768568</v>
      </c>
    </row>
    <row r="52" customFormat="false" ht="15" hidden="false" customHeight="false" outlineLevel="0" collapsed="false">
      <c r="A52" s="28" t="s">
        <v>915</v>
      </c>
      <c r="B52" s="62"/>
      <c r="C52" s="64" t="n">
        <f aca="false">P52</f>
        <v>51913.405882921</v>
      </c>
      <c r="D52" s="64" t="n">
        <f aca="false">AB52</f>
        <v>59254.8759349286</v>
      </c>
      <c r="E52" s="65" t="n">
        <f aca="false">Account_Register!$K$8+E10</f>
        <v>63957.21</v>
      </c>
      <c r="F52" s="73" t="n">
        <f aca="false">E52+F10</f>
        <v>79614.76</v>
      </c>
      <c r="G52" s="73" t="n">
        <f aca="false">F52+G10</f>
        <v>97347</v>
      </c>
      <c r="H52" s="73" t="n">
        <f aca="false">G52+H10</f>
        <v>114259.76</v>
      </c>
      <c r="I52" s="73" t="n">
        <f aca="false">H52+I10</f>
        <v>130821.73</v>
      </c>
      <c r="J52" s="73" t="n">
        <f aca="false">I52+J10</f>
        <v>150140.88</v>
      </c>
      <c r="K52" s="73" t="n">
        <f aca="false">J52+K10</f>
        <v>168486.75</v>
      </c>
      <c r="L52" s="73" t="n">
        <f aca="false">K52+L10</f>
        <v>186602.59</v>
      </c>
      <c r="M52" s="73" t="n">
        <f aca="false">L52+M10</f>
        <v>205080.7468</v>
      </c>
      <c r="N52" s="73" t="n">
        <f aca="false">N10</f>
        <v>16962.9479424</v>
      </c>
      <c r="O52" s="73" t="n">
        <f aca="false">N52+O10</f>
        <v>34265.154843648</v>
      </c>
      <c r="P52" s="73" t="n">
        <f aca="false">O52+P10</f>
        <v>51913.405882921</v>
      </c>
      <c r="Q52" s="73" t="n">
        <f aca="false">P52+Q10</f>
        <v>69914.6219429794</v>
      </c>
      <c r="R52" s="73" t="n">
        <f aca="false">Q52+R10</f>
        <v>88275.862324239</v>
      </c>
      <c r="S52" s="73" t="n">
        <f aca="false">R52+S10</f>
        <v>107004.327513124</v>
      </c>
      <c r="T52" s="73" t="n">
        <f aca="false">S52+T10</f>
        <v>126107.362005786</v>
      </c>
      <c r="U52" s="73" t="n">
        <f aca="false">T52+U10</f>
        <v>145592.457188302</v>
      </c>
      <c r="V52" s="73" t="n">
        <f aca="false">U52+V10</f>
        <v>165467.254274468</v>
      </c>
      <c r="W52" s="73" t="n">
        <f aca="false">V52+W10</f>
        <v>185739.547302357</v>
      </c>
      <c r="X52" s="73" t="n">
        <f aca="false">W52+X10</f>
        <v>206417.286190805</v>
      </c>
      <c r="Y52" s="73" t="n">
        <f aca="false">X52+Y10</f>
        <v>227508.579857021</v>
      </c>
      <c r="Z52" s="73" t="n">
        <f aca="false">Z10</f>
        <v>19361.8075855864</v>
      </c>
      <c r="AA52" s="73" t="n">
        <f aca="false">Z52+AA10</f>
        <v>39110.8513228845</v>
      </c>
      <c r="AB52" s="73" t="n">
        <f aca="false">AA52+AB10</f>
        <v>59254.8759349286</v>
      </c>
    </row>
    <row r="53" customFormat="false" ht="15" hidden="false" customHeight="false" outlineLevel="0" collapsed="false">
      <c r="A53" s="28" t="s">
        <v>916</v>
      </c>
      <c r="B53" s="62"/>
      <c r="C53" s="64" t="n">
        <f aca="false">P53</f>
        <v>361992.123290011</v>
      </c>
      <c r="D53" s="64" t="n">
        <f aca="false">AB53</f>
        <v>414323.218340391</v>
      </c>
      <c r="E53" s="65" t="n">
        <f aca="false">Account_Register!$K$9+E11</f>
        <v>305087.31</v>
      </c>
      <c r="F53" s="73" t="n">
        <f aca="false">F11</f>
        <v>27589.77</v>
      </c>
      <c r="G53" s="73" t="n">
        <f aca="false">F53+G11</f>
        <v>56240.13</v>
      </c>
      <c r="H53" s="73" t="n">
        <f aca="false">G53+H11</f>
        <v>86840.5</v>
      </c>
      <c r="I53" s="73" t="n">
        <f aca="false">H53+I11</f>
        <v>118680.21</v>
      </c>
      <c r="J53" s="73" t="n">
        <f aca="false">I53+J11</f>
        <v>149078.88</v>
      </c>
      <c r="K53" s="73" t="n">
        <f aca="false">J53+K11</f>
        <v>184003.84</v>
      </c>
      <c r="L53" s="73" t="n">
        <f aca="false">K53+L11</f>
        <v>218342.84</v>
      </c>
      <c r="M53" s="73" t="n">
        <f aca="false">L53+M11</f>
        <v>253299.942</v>
      </c>
      <c r="N53" s="73" t="n">
        <f aca="false">M53+N11</f>
        <v>288886.271836</v>
      </c>
      <c r="O53" s="73" t="n">
        <f aca="false">N53+O11</f>
        <v>325113.155609048</v>
      </c>
      <c r="P53" s="73" t="n">
        <f aca="false">O53+P11</f>
        <v>361992.123290011</v>
      </c>
      <c r="Q53" s="73" t="n">
        <f aca="false">P53+Q11</f>
        <v>399534.912389231</v>
      </c>
      <c r="R53" s="73" t="n">
        <f aca="false">R11</f>
        <v>34396.7033727055</v>
      </c>
      <c r="S53" s="73" t="n">
        <f aca="false">R53+S11</f>
        <v>69412.5474061198</v>
      </c>
      <c r="T53" s="73" t="n">
        <f aca="false">S53+T11</f>
        <v>105058.676632136</v>
      </c>
      <c r="U53" s="73" t="n">
        <f aca="false">T53+U11</f>
        <v>141346.43618422</v>
      </c>
      <c r="V53" s="73" t="n">
        <f aca="false">U53+V11</f>
        <v>178287.375408241</v>
      </c>
      <c r="W53" s="73" t="n">
        <f aca="false">V53+W11</f>
        <v>215893.251538295</v>
      </c>
      <c r="X53" s="73" t="n">
        <f aca="false">W53+X11</f>
        <v>254176.03343869</v>
      </c>
      <c r="Y53" s="73" t="n">
        <f aca="false">X53+Y11</f>
        <v>293147.905413292</v>
      </c>
      <c r="Z53" s="73" t="n">
        <f aca="false">Y53+Z11</f>
        <v>332821.271083437</v>
      </c>
      <c r="AA53" s="73" t="n">
        <f aca="false">Z53+AA11</f>
        <v>373208.757335644</v>
      </c>
      <c r="AB53" s="73" t="n">
        <f aca="false">AA53+AB11</f>
        <v>414323.218340391</v>
      </c>
    </row>
    <row r="54" customFormat="false" ht="15" hidden="false" customHeight="false" outlineLevel="0" collapsed="false">
      <c r="A54" s="28" t="s">
        <v>917</v>
      </c>
      <c r="B54" s="62"/>
      <c r="C54" s="64" t="n">
        <f aca="false">P54</f>
        <v>137699.261892998</v>
      </c>
      <c r="D54" s="64" t="n">
        <f aca="false">AB54</f>
        <v>137229.766685799</v>
      </c>
      <c r="E54" s="65" t="n">
        <f aca="false">Account_Register!$K$10+E12</f>
        <v>128905.33</v>
      </c>
      <c r="F54" s="73" t="n">
        <f aca="false">E54+F12</f>
        <v>144026.98</v>
      </c>
      <c r="G54" s="73" t="n">
        <f aca="false">F54+G12</f>
        <v>159213.99</v>
      </c>
      <c r="H54" s="73" t="n">
        <f aca="false">H12</f>
        <v>14753.92</v>
      </c>
      <c r="I54" s="73" t="n">
        <f aca="false">H54+I12</f>
        <v>29971.34</v>
      </c>
      <c r="J54" s="73" t="n">
        <f aca="false">I54+J12</f>
        <v>45716.65</v>
      </c>
      <c r="K54" s="73" t="n">
        <f aca="false">J54+K12</f>
        <v>61970.74</v>
      </c>
      <c r="L54" s="73" t="n">
        <f aca="false">K54+L12</f>
        <v>76610.17</v>
      </c>
      <c r="M54" s="73" t="n">
        <f aca="false">L54+M12</f>
        <v>91498.47031</v>
      </c>
      <c r="N54" s="73" t="n">
        <f aca="false">M54+N12</f>
        <v>106639.87172527</v>
      </c>
      <c r="O54" s="73" t="n">
        <f aca="false">N54+O12</f>
        <v>122038.6769646</v>
      </c>
      <c r="P54" s="73" t="n">
        <f aca="false">O54+P12</f>
        <v>137699.261892998</v>
      </c>
      <c r="Q54" s="73" t="n">
        <f aca="false">P54+Q12</f>
        <v>153626.076765179</v>
      </c>
      <c r="R54" s="73" t="n">
        <f aca="false">Q54+R12</f>
        <v>169823.647490187</v>
      </c>
      <c r="S54" s="73" t="n">
        <f aca="false">R54+S12</f>
        <v>186296.57691752</v>
      </c>
      <c r="T54" s="73" t="n">
        <f aca="false">T12</f>
        <v>14240.0238434582</v>
      </c>
      <c r="U54" s="73" t="n">
        <f aca="false">T54+U12</f>
        <v>28722.1280922551</v>
      </c>
      <c r="V54" s="73" t="n">
        <f aca="false">U54+V12</f>
        <v>43450.4281132816</v>
      </c>
      <c r="W54" s="73" t="n">
        <f aca="false">V54+W12</f>
        <v>58429.1092346655</v>
      </c>
      <c r="X54" s="73" t="n">
        <f aca="false">W54+X12</f>
        <v>73662.427935113</v>
      </c>
      <c r="Y54" s="73" t="n">
        <f aca="false">X54+Y12</f>
        <v>89154.713053468</v>
      </c>
      <c r="Z54" s="73" t="n">
        <f aca="false">Y54+Z12</f>
        <v>104910.367018835</v>
      </c>
      <c r="AA54" s="73" t="n">
        <f aca="false">Z54+AA12</f>
        <v>120933.867101613</v>
      </c>
      <c r="AB54" s="73" t="n">
        <f aca="false">AA54+AB12</f>
        <v>137229.766685799</v>
      </c>
    </row>
    <row r="55" customFormat="false" ht="15" hidden="false" customHeight="false" outlineLevel="0" collapsed="false">
      <c r="A55" s="28" t="s">
        <v>918</v>
      </c>
      <c r="B55" s="62"/>
      <c r="C55" s="64" t="n">
        <f aca="false">P55</f>
        <v>101522.048371477</v>
      </c>
      <c r="D55" s="64" t="n">
        <f aca="false">AB55</f>
        <v>117360.205923107</v>
      </c>
      <c r="E55" s="65" t="n">
        <f aca="false">Account_Register!$K$11+E13</f>
        <v>111978.63</v>
      </c>
      <c r="F55" s="73" t="n">
        <f aca="false">E55+F13</f>
        <v>127835.76</v>
      </c>
      <c r="G55" s="73" t="n">
        <f aca="false">F55+G13</f>
        <v>143220.54</v>
      </c>
      <c r="H55" s="73" t="n">
        <f aca="false">G55+H13</f>
        <v>157278.26</v>
      </c>
      <c r="I55" s="73" t="n">
        <f aca="false">H55+I13</f>
        <v>172167.55</v>
      </c>
      <c r="J55" s="73" t="n">
        <f aca="false">I55+J13</f>
        <v>187003.53</v>
      </c>
      <c r="K55" s="73" t="n">
        <f aca="false">K13</f>
        <v>15921.18</v>
      </c>
      <c r="L55" s="73" t="n">
        <f aca="false">K55+L13</f>
        <v>32403.03</v>
      </c>
      <c r="M55" s="73" t="n">
        <f aca="false">L55+M13</f>
        <v>49198.03515</v>
      </c>
      <c r="N55" s="73" t="n">
        <f aca="false">M55+N13</f>
        <v>66312.14539785</v>
      </c>
      <c r="O55" s="73" t="n">
        <f aca="false">N55+O13</f>
        <v>83751.4237404091</v>
      </c>
      <c r="P55" s="73" t="n">
        <f aca="false">O55+P13</f>
        <v>101522.048371477</v>
      </c>
      <c r="Q55" s="73" t="n">
        <f aca="false">P55+Q13</f>
        <v>119630.314870535</v>
      </c>
      <c r="R55" s="73" t="n">
        <f aca="false">Q55+R13</f>
        <v>138082.638433075</v>
      </c>
      <c r="S55" s="73" t="n">
        <f aca="false">R55+S13</f>
        <v>156885.556143304</v>
      </c>
      <c r="T55" s="73" t="n">
        <f aca="false">S55+T13</f>
        <v>176045.729290026</v>
      </c>
      <c r="U55" s="73" t="n">
        <f aca="false">T55+U13</f>
        <v>195569.945726537</v>
      </c>
      <c r="V55" s="73" t="n">
        <f aca="false">U55+V13</f>
        <v>215465.122275341</v>
      </c>
      <c r="W55" s="73" t="n">
        <f aca="false">W13</f>
        <v>18651.3301109729</v>
      </c>
      <c r="X55" s="73" t="n">
        <f aca="false">W55+X13</f>
        <v>37657.0354940544</v>
      </c>
      <c r="Y55" s="73" t="n">
        <f aca="false">X55+Y13</f>
        <v>57023.8492794144</v>
      </c>
      <c r="Z55" s="73" t="n">
        <f aca="false">Y55+Z13</f>
        <v>76758.6325266962</v>
      </c>
      <c r="AA55" s="73" t="n">
        <f aca="false">Z55+AA13</f>
        <v>96868.3766556763</v>
      </c>
      <c r="AB55" s="73" t="n">
        <f aca="false">AA55+AB13</f>
        <v>117360.205923107</v>
      </c>
    </row>
    <row r="56" customFormat="false" ht="15" hidden="false" customHeight="false" outlineLevel="0" collapsed="false">
      <c r="A56" s="28" t="s">
        <v>919</v>
      </c>
      <c r="B56" s="62"/>
      <c r="C56" s="64" t="n">
        <f aca="false">P56</f>
        <v>63820.9263538296</v>
      </c>
      <c r="D56" s="64" t="n">
        <f aca="false">AB56</f>
        <v>69491.2475469959</v>
      </c>
      <c r="E56" s="65" t="n">
        <f aca="false">Account_Register!$K$12+E14</f>
        <v>77581.1</v>
      </c>
      <c r="F56" s="73" t="n">
        <f aca="false">E56+F14</f>
        <v>93932.35</v>
      </c>
      <c r="G56" s="73" t="n">
        <f aca="false">F56+G14</f>
        <v>108375.94</v>
      </c>
      <c r="H56" s="73" t="n">
        <f aca="false">G56+H14</f>
        <v>122447.44</v>
      </c>
      <c r="I56" s="73" t="n">
        <f aca="false">H56+I14</f>
        <v>136949.32</v>
      </c>
      <c r="J56" s="73" t="n">
        <f aca="false">I56+J14</f>
        <v>151590.4</v>
      </c>
      <c r="K56" s="73" t="n">
        <f aca="false">J56+K14</f>
        <v>168049.62</v>
      </c>
      <c r="L56" s="73" t="n">
        <f aca="false">K56+L14</f>
        <v>185085.24</v>
      </c>
      <c r="M56" s="73" t="n">
        <f aca="false">M14</f>
        <v>15577.370928</v>
      </c>
      <c r="N56" s="73" t="n">
        <f aca="false">M56+N14</f>
        <v>31403.979790848</v>
      </c>
      <c r="O56" s="73" t="n">
        <f aca="false">N56+O14</f>
        <v>47483.8143955016</v>
      </c>
      <c r="P56" s="73" t="n">
        <f aca="false">O56+P14</f>
        <v>63820.9263538296</v>
      </c>
      <c r="Q56" s="73" t="n">
        <f aca="false">P56+Q14</f>
        <v>80419.4321034909</v>
      </c>
      <c r="R56" s="73" t="n">
        <f aca="false">Q56+R14</f>
        <v>97283.5139451467</v>
      </c>
      <c r="S56" s="73" t="n">
        <f aca="false">R56+S14</f>
        <v>114417.421096269</v>
      </c>
      <c r="T56" s="73" t="n">
        <f aca="false">S56+T14</f>
        <v>131825.470761809</v>
      </c>
      <c r="U56" s="73" t="n">
        <f aca="false">T56+U14</f>
        <v>149512.049221998</v>
      </c>
      <c r="V56" s="73" t="n">
        <f aca="false">U56+V14</f>
        <v>167481.61293755</v>
      </c>
      <c r="W56" s="73" t="n">
        <f aca="false">V56+W14</f>
        <v>185738.689672551</v>
      </c>
      <c r="X56" s="73" t="n">
        <f aca="false">W56+X14</f>
        <v>204287.879635312</v>
      </c>
      <c r="Y56" s="73" t="n">
        <f aca="false">Y14</f>
        <v>16961.3793019485</v>
      </c>
      <c r="Z56" s="73" t="n">
        <f aca="false">Y56+Z14</f>
        <v>34194.1406727282</v>
      </c>
      <c r="AA56" s="73" t="n">
        <f aca="false">Z56+AA14</f>
        <v>51702.6262254403</v>
      </c>
      <c r="AB56" s="73" t="n">
        <f aca="false">AA56+AB14</f>
        <v>69491.2475469959</v>
      </c>
    </row>
    <row r="57" customFormat="false" ht="15" hidden="false" customHeight="false" outlineLevel="0" collapsed="false">
      <c r="A57" s="28" t="s">
        <v>920</v>
      </c>
      <c r="B57" s="62"/>
      <c r="C57" s="64" t="n">
        <f aca="false">P57</f>
        <v>27509.3535885707</v>
      </c>
      <c r="D57" s="64" t="n">
        <f aca="false">AB57</f>
        <v>30668.7609904801</v>
      </c>
      <c r="E57" s="65" t="n">
        <f aca="false">Account_Register!$K$13+E15</f>
        <v>40593.81</v>
      </c>
      <c r="F57" s="73" t="n">
        <f aca="false">E57+F15</f>
        <v>55786.61</v>
      </c>
      <c r="G57" s="73" t="n">
        <f aca="false">F57+G15</f>
        <v>70697.39</v>
      </c>
      <c r="H57" s="73" t="n">
        <f aca="false">G57+H15</f>
        <v>86028.4</v>
      </c>
      <c r="I57" s="73" t="n">
        <f aca="false">H57+I15</f>
        <v>102185.91</v>
      </c>
      <c r="J57" s="73" t="n">
        <f aca="false">I57+J15</f>
        <v>117733.81</v>
      </c>
      <c r="K57" s="73" t="n">
        <f aca="false">J57+K15</f>
        <v>132831.37</v>
      </c>
      <c r="L57" s="73" t="n">
        <f aca="false">K57+L15</f>
        <v>147188.69</v>
      </c>
      <c r="M57" s="73" t="n">
        <f aca="false">L57+M15</f>
        <v>161804.44176</v>
      </c>
      <c r="N57" s="73" t="n">
        <f aca="false">M57+N15</f>
        <v>176683.27705168</v>
      </c>
      <c r="O57" s="73" t="n">
        <f aca="false">O15</f>
        <v>13631.9888942372</v>
      </c>
      <c r="P57" s="73" t="n">
        <f aca="false">O57+P15</f>
        <v>27509.3535885707</v>
      </c>
      <c r="Q57" s="73" t="n">
        <f aca="false">P57+Q15</f>
        <v>41636.5108474022</v>
      </c>
      <c r="R57" s="73" t="n">
        <f aca="false">Q57+R15</f>
        <v>56017.9569368926</v>
      </c>
      <c r="S57" s="73" t="n">
        <f aca="false">R57+S15</f>
        <v>70658.2690559939</v>
      </c>
      <c r="T57" s="73" t="n">
        <f aca="false">S57+T15</f>
        <v>85562.106793239</v>
      </c>
      <c r="U57" s="73" t="n">
        <f aca="false">T57+U15</f>
        <v>100734.213609755</v>
      </c>
      <c r="V57" s="73" t="n">
        <f aca="false">U57+V15</f>
        <v>116179.418348967</v>
      </c>
      <c r="W57" s="73" t="n">
        <f aca="false">V57+W15</f>
        <v>131902.636773486</v>
      </c>
      <c r="X57" s="73" t="n">
        <f aca="false">W57+X15</f>
        <v>147908.873129646</v>
      </c>
      <c r="Y57" s="73" t="n">
        <f aca="false">X57+Y15</f>
        <v>164203.221740217</v>
      </c>
      <c r="Z57" s="73" t="n">
        <f aca="false">Y57+Z15</f>
        <v>180790.868625778</v>
      </c>
      <c r="AA57" s="73" t="n">
        <f aca="false">AA15</f>
        <v>15197.6020765511</v>
      </c>
      <c r="AB57" s="73" t="n">
        <f aca="false">AA57+AB15</f>
        <v>30668.7609904801</v>
      </c>
    </row>
    <row r="58" customFormat="false" ht="15" hidden="false" customHeight="false" outlineLevel="0" collapsed="false">
      <c r="A58" s="28" t="s">
        <v>921</v>
      </c>
      <c r="B58" s="62"/>
      <c r="C58" s="64" t="n">
        <f aca="false">P58</f>
        <v>0</v>
      </c>
      <c r="D58" s="64" t="n">
        <f aca="false">AB58</f>
        <v>0</v>
      </c>
      <c r="E58" s="65" t="n">
        <f aca="false">Account_Register!$K$14+E16</f>
        <v>152582.89</v>
      </c>
      <c r="F58" s="73" t="n">
        <f aca="false">E58+F16</f>
        <v>168216.42</v>
      </c>
      <c r="G58" s="73" t="n">
        <f aca="false">G16</f>
        <v>0</v>
      </c>
      <c r="H58" s="73" t="n">
        <f aca="false">G58+H16</f>
        <v>0</v>
      </c>
      <c r="I58" s="73" t="n">
        <f aca="false">H58+I16</f>
        <v>0</v>
      </c>
      <c r="J58" s="73" t="n">
        <f aca="false">I58+J16</f>
        <v>0</v>
      </c>
      <c r="K58" s="73" t="n">
        <f aca="false">J58+K16</f>
        <v>0</v>
      </c>
      <c r="L58" s="73" t="n">
        <f aca="false">K58+L16</f>
        <v>0</v>
      </c>
      <c r="M58" s="73" t="n">
        <f aca="false">L58+M16</f>
        <v>0</v>
      </c>
      <c r="N58" s="73" t="n">
        <f aca="false">M58+N16</f>
        <v>0</v>
      </c>
      <c r="O58" s="73" t="n">
        <f aca="false">N58+O16</f>
        <v>0</v>
      </c>
      <c r="P58" s="73" t="n">
        <f aca="false">O58+P16</f>
        <v>0</v>
      </c>
      <c r="Q58" s="73" t="n">
        <f aca="false">P58+Q16</f>
        <v>0</v>
      </c>
      <c r="R58" s="73" t="n">
        <f aca="false">Q58+R16</f>
        <v>0</v>
      </c>
      <c r="S58" s="73" t="n">
        <f aca="false">S16</f>
        <v>0</v>
      </c>
      <c r="T58" s="73" t="n">
        <f aca="false">S58+T16</f>
        <v>0</v>
      </c>
      <c r="U58" s="73" t="n">
        <f aca="false">T58+U16</f>
        <v>0</v>
      </c>
      <c r="V58" s="73" t="n">
        <f aca="false">U58+V16</f>
        <v>0</v>
      </c>
      <c r="W58" s="73" t="n">
        <f aca="false">V58+W16</f>
        <v>0</v>
      </c>
      <c r="X58" s="73" t="n">
        <f aca="false">W58+X16</f>
        <v>0</v>
      </c>
      <c r="Y58" s="73" t="n">
        <f aca="false">X58+Y16</f>
        <v>0</v>
      </c>
      <c r="Z58" s="73" t="n">
        <f aca="false">Y58+Z16</f>
        <v>0</v>
      </c>
      <c r="AA58" s="73" t="n">
        <f aca="false">Z58+AA16</f>
        <v>0</v>
      </c>
      <c r="AB58" s="73" t="n">
        <f aca="false">AA58+AB16</f>
        <v>0</v>
      </c>
    </row>
    <row r="59" customFormat="false" ht="15" hidden="false" customHeight="false" outlineLevel="0" collapsed="false">
      <c r="A59" s="28" t="s">
        <v>922</v>
      </c>
      <c r="B59" s="62"/>
      <c r="C59" s="64" t="n">
        <f aca="false">P59</f>
        <v>154752.58999007</v>
      </c>
      <c r="D59" s="64" t="n">
        <f aca="false">AB59</f>
        <v>166457.83520049</v>
      </c>
      <c r="E59" s="65" t="n">
        <f aca="false">Account_Register!$K$15+E17</f>
        <v>143121.62</v>
      </c>
      <c r="F59" s="73" t="n">
        <f aca="false">F17</f>
        <v>14800.59</v>
      </c>
      <c r="G59" s="73" t="n">
        <f aca="false">F59+G17</f>
        <v>28341</v>
      </c>
      <c r="H59" s="73" t="n">
        <f aca="false">G59+H17</f>
        <v>42728.44</v>
      </c>
      <c r="I59" s="73" t="n">
        <f aca="false">H59+I17</f>
        <v>56828.27</v>
      </c>
      <c r="J59" s="73" t="n">
        <f aca="false">I59+J17</f>
        <v>70829.72</v>
      </c>
      <c r="K59" s="73" t="n">
        <f aca="false">J59+K17</f>
        <v>86043.96</v>
      </c>
      <c r="L59" s="73" t="n">
        <f aca="false">K59+L17</f>
        <v>99246.9</v>
      </c>
      <c r="M59" s="73" t="n">
        <f aca="false">L59+M17</f>
        <v>112713.8988</v>
      </c>
      <c r="N59" s="73" t="n">
        <f aca="false">M59+N17</f>
        <v>126450.237576</v>
      </c>
      <c r="O59" s="73" t="n">
        <f aca="false">N59+O17</f>
        <v>140461.30312752</v>
      </c>
      <c r="P59" s="73" t="n">
        <f aca="false">O59+P17</f>
        <v>154752.58999007</v>
      </c>
      <c r="Q59" s="73" t="n">
        <f aca="false">P59+Q17</f>
        <v>169329.702589872</v>
      </c>
      <c r="R59" s="73" t="n">
        <f aca="false">R17</f>
        <v>13679.1624636536</v>
      </c>
      <c r="S59" s="73" t="n">
        <f aca="false">R59+S17</f>
        <v>27631.9081765804</v>
      </c>
      <c r="T59" s="73" t="n">
        <f aca="false">S59+T17</f>
        <v>41863.7088037656</v>
      </c>
      <c r="U59" s="73" t="n">
        <f aca="false">T59+U17</f>
        <v>56380.1454434946</v>
      </c>
      <c r="V59" s="73" t="n">
        <f aca="false">U59+V17</f>
        <v>71186.9108160181</v>
      </c>
      <c r="W59" s="73" t="n">
        <f aca="false">V59+W17</f>
        <v>86289.8114959921</v>
      </c>
      <c r="X59" s="73" t="n">
        <f aca="false">W59+X17</f>
        <v>101694.770189566</v>
      </c>
      <c r="Y59" s="73" t="n">
        <f aca="false">X59+Y17</f>
        <v>117407.828057011</v>
      </c>
      <c r="Z59" s="73" t="n">
        <f aca="false">Y59+Z17</f>
        <v>133435.147081804</v>
      </c>
      <c r="AA59" s="73" t="n">
        <f aca="false">Z59+AA17</f>
        <v>149783.012487094</v>
      </c>
      <c r="AB59" s="73" t="n">
        <f aca="false">AA59+AB17</f>
        <v>166457.83520049</v>
      </c>
    </row>
    <row r="60" customFormat="false" ht="15" hidden="false" customHeight="false" outlineLevel="0" collapsed="false">
      <c r="A60" s="28" t="s">
        <v>923</v>
      </c>
      <c r="B60" s="62"/>
      <c r="C60" s="64" t="n">
        <f aca="false">P60</f>
        <v>161320.743495836</v>
      </c>
      <c r="D60" s="64" t="n">
        <f aca="false">AB60</f>
        <v>188502.894937148</v>
      </c>
      <c r="E60" s="65" t="n">
        <f aca="false">Account_Register!$K$16+E18</f>
        <v>113873.72</v>
      </c>
      <c r="F60" s="73" t="n">
        <f aca="false">E60+F18</f>
        <v>129703.61</v>
      </c>
      <c r="G60" s="73" t="n">
        <f aca="false">F60+G18</f>
        <v>147573.43</v>
      </c>
      <c r="H60" s="73" t="n">
        <f aca="false">H18</f>
        <v>17854.46</v>
      </c>
      <c r="I60" s="73" t="n">
        <f aca="false">H60+I18</f>
        <v>33885.56</v>
      </c>
      <c r="J60" s="73" t="n">
        <f aca="false">I60+J18</f>
        <v>49828.07</v>
      </c>
      <c r="K60" s="73" t="n">
        <f aca="false">J60+K18</f>
        <v>66891.16</v>
      </c>
      <c r="L60" s="73" t="n">
        <f aca="false">K60+L18</f>
        <v>85000.35</v>
      </c>
      <c r="M60" s="73" t="n">
        <f aca="false">L60+M18</f>
        <v>103489.83299</v>
      </c>
      <c r="N60" s="73" t="n">
        <f aca="false">M60+N18</f>
        <v>122367.59512279</v>
      </c>
      <c r="O60" s="73" t="n">
        <f aca="false">N60+O18</f>
        <v>141641.790260369</v>
      </c>
      <c r="P60" s="73" t="n">
        <f aca="false">O60+P18</f>
        <v>161320.743495836</v>
      </c>
      <c r="Q60" s="73" t="n">
        <f aca="false">P60+Q18</f>
        <v>181412.954749249</v>
      </c>
      <c r="R60" s="73" t="n">
        <f aca="false">Q60+R18</f>
        <v>201927.102438983</v>
      </c>
      <c r="S60" s="73" t="n">
        <f aca="false">R60+S18</f>
        <v>222872.047230202</v>
      </c>
      <c r="T60" s="73" t="n">
        <f aca="false">T18</f>
        <v>19246.3097686508</v>
      </c>
      <c r="U60" s="73" t="n">
        <f aca="false">T60+U18</f>
        <v>38896.7920424433</v>
      </c>
      <c r="V60" s="73" t="n">
        <f aca="false">U60+V18</f>
        <v>58959.9344439854</v>
      </c>
      <c r="W60" s="73" t="n">
        <f aca="false">V60+W18</f>
        <v>79444.4028359599</v>
      </c>
      <c r="X60" s="73" t="n">
        <f aca="false">W60+X18</f>
        <v>100359.045064166</v>
      </c>
      <c r="Y60" s="73" t="n">
        <f aca="false">X60+Y18</f>
        <v>121712.894779164</v>
      </c>
      <c r="Z60" s="73" t="n">
        <f aca="false">Y60+Z18</f>
        <v>143515.175338177</v>
      </c>
      <c r="AA60" s="73" t="n">
        <f aca="false">Z60+AA18</f>
        <v>165775.30378893</v>
      </c>
      <c r="AB60" s="73" t="n">
        <f aca="false">AA60+AB18</f>
        <v>188502.894937148</v>
      </c>
    </row>
    <row r="61" customFormat="false" ht="15" hidden="false" customHeight="false" outlineLevel="0" collapsed="false">
      <c r="A61" s="28" t="s">
        <v>924</v>
      </c>
      <c r="B61" s="62"/>
      <c r="C61" s="64" t="n">
        <f aca="false">P61</f>
        <v>82899.6647086768</v>
      </c>
      <c r="D61" s="64" t="n">
        <f aca="false">AB61</f>
        <v>97846.7090708084</v>
      </c>
      <c r="E61" s="65" t="n">
        <f aca="false">Account_Register!$K$17+E19</f>
        <v>59500.54</v>
      </c>
      <c r="F61" s="73" t="n">
        <f aca="false">E61+F19</f>
        <v>67760.74</v>
      </c>
      <c r="G61" s="73" t="n">
        <f aca="false">F61+G19</f>
        <v>75872.25</v>
      </c>
      <c r="H61" s="73" t="n">
        <f aca="false">G61+H19</f>
        <v>84421.65</v>
      </c>
      <c r="I61" s="73" t="n">
        <f aca="false">H61+I19</f>
        <v>93621.52</v>
      </c>
      <c r="J61" s="73" t="n">
        <f aca="false">J19</f>
        <v>9997.67</v>
      </c>
      <c r="K61" s="73" t="n">
        <f aca="false">J61+K19</f>
        <v>20468.2</v>
      </c>
      <c r="L61" s="73" t="n">
        <f aca="false">K61+L19</f>
        <v>32464.93</v>
      </c>
      <c r="M61" s="73" t="n">
        <f aca="false">L61+M19</f>
        <v>44701.5946</v>
      </c>
      <c r="N61" s="73" t="n">
        <f aca="false">M61+N19</f>
        <v>57182.992492</v>
      </c>
      <c r="O61" s="73" t="n">
        <f aca="false">N61+O19</f>
        <v>69914.01834184</v>
      </c>
      <c r="P61" s="73" t="n">
        <f aca="false">O61+P19</f>
        <v>82899.6647086768</v>
      </c>
      <c r="Q61" s="73" t="n">
        <f aca="false">P61+Q19</f>
        <v>96145.0240028504</v>
      </c>
      <c r="R61" s="73" t="n">
        <f aca="false">Q61+R19</f>
        <v>109655.290482907</v>
      </c>
      <c r="S61" s="73" t="n">
        <f aca="false">R61+S19</f>
        <v>123435.762292566</v>
      </c>
      <c r="T61" s="73" t="n">
        <f aca="false">S61+T19</f>
        <v>137491.843538417</v>
      </c>
      <c r="U61" s="73" t="n">
        <f aca="false">T61+U19</f>
        <v>151829.046409185</v>
      </c>
      <c r="V61" s="73" t="n">
        <f aca="false">V19</f>
        <v>13161.5522353653</v>
      </c>
      <c r="W61" s="73" t="n">
        <f aca="false">V61+W19</f>
        <v>26586.335515438</v>
      </c>
      <c r="X61" s="73" t="n">
        <f aca="false">W61+X19</f>
        <v>40279.6144611121</v>
      </c>
      <c r="Y61" s="73" t="n">
        <f aca="false">X61+Y19</f>
        <v>54246.7589856996</v>
      </c>
      <c r="Z61" s="73" t="n">
        <f aca="false">Y61+Z19</f>
        <v>68493.246400779</v>
      </c>
      <c r="AA61" s="73" t="n">
        <f aca="false">Z61+AA19</f>
        <v>83024.6635641599</v>
      </c>
      <c r="AB61" s="73" t="n">
        <f aca="false">AA61+AB19</f>
        <v>97846.7090708084</v>
      </c>
    </row>
    <row r="62" customFormat="false" ht="15" hidden="false" customHeight="false" outlineLevel="0" collapsed="false">
      <c r="A62" s="28" t="s">
        <v>925</v>
      </c>
      <c r="B62" s="62"/>
      <c r="C62" s="64" t="n">
        <f aca="false">P62</f>
        <v>60107.6569640118</v>
      </c>
      <c r="D62" s="64" t="n">
        <f aca="false">AB62</f>
        <v>67805.1243438136</v>
      </c>
      <c r="E62" s="65" t="n">
        <f aca="false">Account_Register!$K$18+E20</f>
        <v>50302.53</v>
      </c>
      <c r="F62" s="73" t="n">
        <f aca="false">E62+F20</f>
        <v>60412.31</v>
      </c>
      <c r="G62" s="73" t="n">
        <f aca="false">F62+G20</f>
        <v>71534.64</v>
      </c>
      <c r="H62" s="73" t="n">
        <f aca="false">G62+H20</f>
        <v>83112.15</v>
      </c>
      <c r="I62" s="73" t="n">
        <f aca="false">H62+I20</f>
        <v>93749.7</v>
      </c>
      <c r="J62" s="73" t="n">
        <f aca="false">I62+J20</f>
        <v>106071.34</v>
      </c>
      <c r="K62" s="73" t="n">
        <f aca="false">J62+K20</f>
        <v>117904.49</v>
      </c>
      <c r="L62" s="73" t="n">
        <f aca="false">L20</f>
        <v>11573.31</v>
      </c>
      <c r="M62" s="73" t="n">
        <f aca="false">L62+M20</f>
        <v>23366.51289</v>
      </c>
      <c r="N62" s="73" t="n">
        <f aca="false">M62+N20</f>
        <v>35383.78663491</v>
      </c>
      <c r="O62" s="73" t="n">
        <f aca="false">N62+O20</f>
        <v>47629.3885809733</v>
      </c>
      <c r="P62" s="73" t="n">
        <f aca="false">O62+P20</f>
        <v>60107.6569640118</v>
      </c>
      <c r="Q62" s="73" t="n">
        <f aca="false">P62+Q20</f>
        <v>72823.012446328</v>
      </c>
      <c r="R62" s="73" t="n">
        <f aca="false">Q62+R20</f>
        <v>85779.9596828082</v>
      </c>
      <c r="S62" s="73" t="n">
        <f aca="false">R62+S20</f>
        <v>98983.0889167816</v>
      </c>
      <c r="T62" s="73" t="n">
        <f aca="false">S62+T20</f>
        <v>112437.0776062</v>
      </c>
      <c r="U62" s="73" t="n">
        <f aca="false">T62+U20</f>
        <v>126146.692080718</v>
      </c>
      <c r="V62" s="73" t="n">
        <f aca="false">U62+V20</f>
        <v>140116.789230252</v>
      </c>
      <c r="W62" s="73" t="n">
        <f aca="false">V62+W20</f>
        <v>154352.318225627</v>
      </c>
      <c r="X62" s="73" t="n">
        <f aca="false">X20</f>
        <v>13055.4036416582</v>
      </c>
      <c r="Y62" s="73" t="n">
        <f aca="false">X62+Y20</f>
        <v>26358.8599525079</v>
      </c>
      <c r="Z62" s="73" t="n">
        <f aca="false">Y62+Z20</f>
        <v>39915.0819332638</v>
      </c>
      <c r="AA62" s="73" t="n">
        <f aca="false">Z62+AA20</f>
        <v>53728.872131654</v>
      </c>
      <c r="AB62" s="73" t="n">
        <f aca="false">AA62+AB20</f>
        <v>67805.1243438136</v>
      </c>
    </row>
    <row r="63" customFormat="false" ht="15" hidden="false" customHeight="false" outlineLevel="0" collapsed="false">
      <c r="A63" s="28" t="s">
        <v>926</v>
      </c>
      <c r="B63" s="62"/>
      <c r="C63" s="64" t="n">
        <f aca="false">P63</f>
        <v>30740.7271437421</v>
      </c>
      <c r="D63" s="64" t="n">
        <f aca="false">AB63</f>
        <v>36720.8489454062</v>
      </c>
      <c r="E63" s="65" t="n">
        <f aca="false">Account_Register!$K$19+E21</f>
        <v>35314.83</v>
      </c>
      <c r="F63" s="73" t="n">
        <f aca="false">E63+F21</f>
        <v>44148.84</v>
      </c>
      <c r="G63" s="73" t="n">
        <f aca="false">F63+G21</f>
        <v>54438.9</v>
      </c>
      <c r="H63" s="73" t="n">
        <f aca="false">G63+H21</f>
        <v>64213.11</v>
      </c>
      <c r="I63" s="73" t="n">
        <f aca="false">H63+I21</f>
        <v>73684.35</v>
      </c>
      <c r="J63" s="73" t="n">
        <f aca="false">I63+J21</f>
        <v>83655.45</v>
      </c>
      <c r="K63" s="73" t="n">
        <f aca="false">J63+K21</f>
        <v>94080.44</v>
      </c>
      <c r="L63" s="73" t="n">
        <f aca="false">K63+L21</f>
        <v>104512.83</v>
      </c>
      <c r="M63" s="73" t="n">
        <f aca="false">L63+M21</f>
        <v>115174.73258</v>
      </c>
      <c r="N63" s="73" t="n">
        <f aca="false">N21</f>
        <v>10024.7472818192</v>
      </c>
      <c r="O63" s="73" t="n">
        <f aca="false">N63+O21</f>
        <v>20270.0390038384</v>
      </c>
      <c r="P63" s="73" t="n">
        <f aca="false">O63+P21</f>
        <v>30740.7271437421</v>
      </c>
      <c r="Q63" s="73" t="n">
        <f aca="false">P63+Q21</f>
        <v>41441.7704227236</v>
      </c>
      <c r="R63" s="73" t="n">
        <f aca="false">Q63+R21</f>
        <v>52378.2366538427</v>
      </c>
      <c r="S63" s="73" t="n">
        <f aca="false">R63+S21</f>
        <v>63555.3051420465</v>
      </c>
      <c r="T63" s="73" t="n">
        <f aca="false">S63+T21</f>
        <v>74978.2691369907</v>
      </c>
      <c r="U63" s="73" t="n">
        <f aca="false">T63+U21</f>
        <v>86652.5383398237</v>
      </c>
      <c r="V63" s="73" t="n">
        <f aca="false">U63+V21</f>
        <v>98583.641465119</v>
      </c>
      <c r="W63" s="73" t="n">
        <f aca="false">V63+W21</f>
        <v>110777.228859171</v>
      </c>
      <c r="X63" s="73" t="n">
        <f aca="false">W63+X21</f>
        <v>123239.075175892</v>
      </c>
      <c r="Y63" s="73" t="n">
        <f aca="false">X63+Y21</f>
        <v>135975.082111581</v>
      </c>
      <c r="Z63" s="73" t="n">
        <f aca="false">Z21</f>
        <v>11974.9031612121</v>
      </c>
      <c r="AA63" s="73" t="n">
        <f aca="false">Z63+AA21</f>
        <v>24213.2541919708</v>
      </c>
      <c r="AB63" s="73" t="n">
        <f aca="false">AA63+AB21</f>
        <v>36720.8489454062</v>
      </c>
    </row>
    <row r="64" customFormat="false" ht="15" hidden="false" customHeight="false" outlineLevel="0" collapsed="false">
      <c r="A64" s="28" t="s">
        <v>927</v>
      </c>
      <c r="B64" s="62"/>
      <c r="C64" s="64" t="n">
        <f aca="false">P64</f>
        <v>113884.711271192</v>
      </c>
      <c r="D64" s="64" t="n">
        <f aca="false">AB64</f>
        <v>149644.075551506</v>
      </c>
      <c r="E64" s="73" t="n">
        <f aca="false">0</f>
        <v>0</v>
      </c>
      <c r="F64" s="73" t="n">
        <f aca="false">0</f>
        <v>0</v>
      </c>
      <c r="G64" s="73" t="n">
        <f aca="false">0</f>
        <v>0</v>
      </c>
      <c r="H64" s="73" t="n">
        <f aca="false">H22</f>
        <v>11000</v>
      </c>
      <c r="I64" s="73" t="n">
        <f aca="false">H64+I22</f>
        <v>22796.33</v>
      </c>
      <c r="J64" s="73" t="n">
        <f aca="false">I64+J22</f>
        <v>35495.32</v>
      </c>
      <c r="K64" s="73" t="n">
        <f aca="false">J64+K22</f>
        <v>46909.21</v>
      </c>
      <c r="L64" s="73" t="n">
        <f aca="false">K64+L22</f>
        <v>59420.83</v>
      </c>
      <c r="M64" s="73" t="n">
        <f aca="false">L64+M22</f>
        <v>72439.17061</v>
      </c>
      <c r="N64" s="73" t="n">
        <f aca="false">M64+N22</f>
        <v>85848.0614383</v>
      </c>
      <c r="O64" s="73" t="n">
        <f aca="false">N64+O22</f>
        <v>99659.218991449</v>
      </c>
      <c r="P64" s="73" t="n">
        <f aca="false">O64+P22</f>
        <v>113884.711271192</v>
      </c>
      <c r="Q64" s="73" t="n">
        <f aca="false">P64+Q22</f>
        <v>128536.968319328</v>
      </c>
      <c r="R64" s="73" t="n">
        <f aca="false">Q64+R22</f>
        <v>143628.793078908</v>
      </c>
      <c r="S64" s="73" t="n">
        <f aca="false">R64+S22</f>
        <v>159173.372581275</v>
      </c>
      <c r="T64" s="73" t="n">
        <f aca="false">T22</f>
        <v>14730.0435364432</v>
      </c>
      <c r="U64" s="73" t="n">
        <f aca="false">T64+U22</f>
        <v>29901.9883789797</v>
      </c>
      <c r="V64" s="73" t="n">
        <f aca="false">U64+V22</f>
        <v>45529.0915667923</v>
      </c>
      <c r="W64" s="73" t="n">
        <f aca="false">V64+W22</f>
        <v>61625.0078502393</v>
      </c>
      <c r="X64" s="73" t="n">
        <f aca="false">W64+X22</f>
        <v>78203.8016221897</v>
      </c>
      <c r="Y64" s="73" t="n">
        <f aca="false">X64+Y22</f>
        <v>95279.9592072986</v>
      </c>
      <c r="Z64" s="73" t="n">
        <f aca="false">Y64+Z22</f>
        <v>112868.401519961</v>
      </c>
      <c r="AA64" s="73" t="n">
        <f aca="false">Z64+AA22</f>
        <v>130984.497102003</v>
      </c>
      <c r="AB64" s="73" t="n">
        <f aca="false">AA64+AB22</f>
        <v>149644.075551506</v>
      </c>
    </row>
    <row r="65" customFormat="false" ht="15" hidden="false" customHeight="false" outlineLevel="0" collapsed="false">
      <c r="A65" s="28" t="s">
        <v>928</v>
      </c>
      <c r="B65" s="62"/>
      <c r="C65" s="64" t="n">
        <f aca="false">P65</f>
        <v>99704.8178444242</v>
      </c>
      <c r="D65" s="64" t="n">
        <f aca="false">AB65</f>
        <v>135606.664134046</v>
      </c>
      <c r="E65" s="73" t="n">
        <f aca="false">0</f>
        <v>0</v>
      </c>
      <c r="F65" s="73" t="n">
        <f aca="false">0</f>
        <v>0</v>
      </c>
      <c r="G65" s="73" t="n">
        <f aca="false">0</f>
        <v>0</v>
      </c>
      <c r="H65" s="73" t="n">
        <f aca="false">0</f>
        <v>0</v>
      </c>
      <c r="I65" s="73" t="n">
        <f aca="false">0</f>
        <v>0</v>
      </c>
      <c r="J65" s="73" t="n">
        <f aca="false">0</f>
        <v>0</v>
      </c>
      <c r="K65" s="73" t="n">
        <f aca="false">K23</f>
        <v>14000</v>
      </c>
      <c r="L65" s="73" t="n">
        <f aca="false">K65+L23</f>
        <v>29807.63</v>
      </c>
      <c r="M65" s="73" t="n">
        <f aca="false">L65+M23</f>
        <v>46255.469015</v>
      </c>
      <c r="N65" s="73" t="n">
        <f aca="false">M65+N23</f>
        <v>63369.4455101075</v>
      </c>
      <c r="O65" s="73" t="n">
        <f aca="false">N65+O23</f>
        <v>81176.5380532669</v>
      </c>
      <c r="P65" s="73" t="n">
        <f aca="false">O65+P23</f>
        <v>99704.8178444242</v>
      </c>
      <c r="Q65" s="73" t="n">
        <f aca="false">P65+Q23</f>
        <v>118788.946029316</v>
      </c>
      <c r="R65" s="73" t="n">
        <f aca="false">Q65+R23</f>
        <v>138445.598059755</v>
      </c>
      <c r="S65" s="73" t="n">
        <f aca="false">R65+S23</f>
        <v>158691.949651107</v>
      </c>
      <c r="T65" s="73" t="n">
        <f aca="false">S65+T23</f>
        <v>179545.691790199</v>
      </c>
      <c r="U65" s="73" t="n">
        <f aca="false">T65+U23</f>
        <v>201025.046193465</v>
      </c>
      <c r="V65" s="73" t="n">
        <f aca="false">U65+V23</f>
        <v>223148.781228828</v>
      </c>
      <c r="W65" s="73" t="n">
        <f aca="false">W23</f>
        <v>20964.4513195102</v>
      </c>
      <c r="X65" s="73" t="n">
        <f aca="false">W65+X23</f>
        <v>42557.8361786057</v>
      </c>
      <c r="Y65" s="73" t="n">
        <f aca="false">X65+Y23</f>
        <v>64799.0225834741</v>
      </c>
      <c r="Z65" s="73" t="n">
        <f aca="false">Y65+Z23</f>
        <v>87707.4445804886</v>
      </c>
      <c r="AA65" s="73" t="n">
        <f aca="false">Z65+AA23</f>
        <v>111303.119237413</v>
      </c>
      <c r="AB65" s="73" t="n">
        <f aca="false">AA65+AB23</f>
        <v>135606.664134046</v>
      </c>
    </row>
    <row r="66" customFormat="false" ht="15" hidden="false" customHeight="false" outlineLevel="0" collapsed="false">
      <c r="A66" s="28" t="s">
        <v>929</v>
      </c>
      <c r="B66" s="62"/>
      <c r="C66" s="64" t="n">
        <f aca="false">P66</f>
        <v>18180.855</v>
      </c>
      <c r="D66" s="64" t="n">
        <f aca="false">AB66</f>
        <v>24959.3094173894</v>
      </c>
      <c r="E66" s="65" t="n">
        <f aca="false">IF(Assumptions!E$204&lt;Account_Register!$W$22,0,IF(MOD(Assumptions!E$204-Account_Register!$W$22,12)=0,E24,0+E24))</f>
        <v>0</v>
      </c>
      <c r="F66" s="65" t="n">
        <f aca="false">IF(Assumptions!F$204&lt;Account_Register!$W$22,0,IF(MOD(Assumptions!F$204-Account_Register!$W$22,12)=0,F24,E66+F24))</f>
        <v>0</v>
      </c>
      <c r="G66" s="65" t="n">
        <f aca="false">IF(Assumptions!G$204&lt;Account_Register!$W$22,0,IF(MOD(Assumptions!G$204-Account_Register!$W$22,12)=0,G24,F66+G24))</f>
        <v>0</v>
      </c>
      <c r="H66" s="65" t="n">
        <f aca="false">IF(Assumptions!H$204&lt;Account_Register!$W$22,0,IF(MOD(Assumptions!H$204-Account_Register!$W$22,12)=0,H24,G66+H24))</f>
        <v>0</v>
      </c>
      <c r="I66" s="65" t="n">
        <f aca="false">IF(Assumptions!I$204&lt;Account_Register!$W$22,0,IF(MOD(Assumptions!I$204-Account_Register!$W$22,12)=0,I24,H66+I24))</f>
        <v>0</v>
      </c>
      <c r="J66" s="65" t="n">
        <f aca="false">IF(Assumptions!J$204&lt;Account_Register!$W$22,0,IF(MOD(Assumptions!J$204-Account_Register!$W$22,12)=0,J24,I66+J24))</f>
        <v>0</v>
      </c>
      <c r="K66" s="65" t="n">
        <f aca="false">IF(Assumptions!K$204&lt;Account_Register!$W$22,0,IF(MOD(Assumptions!K$204-Account_Register!$W$22,12)=0,K24,J66+K24))</f>
        <v>0</v>
      </c>
      <c r="L66" s="65" t="n">
        <f aca="false">IF(Assumptions!L$204&lt;Account_Register!$W$22,0,IF(MOD(Assumptions!L$204-Account_Register!$W$22,12)=0,L24,K66+L24))</f>
        <v>0</v>
      </c>
      <c r="M66" s="65" t="n">
        <f aca="false">IF(Assumptions!M$204&lt;Account_Register!$W$22,0,IF(MOD(Assumptions!M$204-Account_Register!$W$22,12)=0,M24,L66+M24))</f>
        <v>0</v>
      </c>
      <c r="N66" s="65" t="n">
        <f aca="false">IF(Assumptions!N$204&lt;Account_Register!$W$22,0,IF(MOD(Assumptions!N$204-Account_Register!$W$22,12)=0,N24,M66+N24))</f>
        <v>0</v>
      </c>
      <c r="O66" s="65" t="n">
        <f aca="false">IF(Assumptions!O$204&lt;Account_Register!$W$22,0,IF(MOD(Assumptions!O$204-Account_Register!$W$22,12)=0,O24,N66+O24))</f>
        <v>8910</v>
      </c>
      <c r="P66" s="65" t="n">
        <f aca="false">IF(Assumptions!P$204&lt;Account_Register!$W$22,0,IF(MOD(Assumptions!P$204-Account_Register!$W$22,12)=0,P24,O66+P24))</f>
        <v>18180.855</v>
      </c>
      <c r="Q66" s="65" t="n">
        <f aca="false">IF(Assumptions!Q$204&lt;Account_Register!$W$22,0,IF(MOD(Assumptions!Q$204-Account_Register!$W$22,12)=0,Q24,P66+Q24))</f>
        <v>27827.1796275</v>
      </c>
      <c r="R66" s="65" t="n">
        <f aca="false">IF(Assumptions!R$204&lt;Account_Register!$W$22,0,IF(MOD(Assumptions!R$204-Account_Register!$W$22,12)=0,R24,Q66+R24))</f>
        <v>37864.1804024138</v>
      </c>
      <c r="S66" s="65" t="n">
        <f aca="false">IF(Assumptions!S$204&lt;Account_Register!$W$22,0,IF(MOD(Assumptions!S$204-Account_Register!$W$22,12)=0,S24,R66+S24))</f>
        <v>48307.6797087115</v>
      </c>
      <c r="T66" s="65" t="n">
        <f aca="false">IF(Assumptions!T$204&lt;Account_Register!$W$22,0,IF(MOD(Assumptions!T$204-Account_Register!$W$22,12)=0,T24,S66+T24))</f>
        <v>59174.1407369143</v>
      </c>
      <c r="U66" s="65" t="n">
        <f aca="false">IF(Assumptions!U$204&lt;Account_Register!$W$22,0,IF(MOD(Assumptions!U$204-Account_Register!$W$22,12)=0,U24,T66+U24))</f>
        <v>70366.5955959632</v>
      </c>
      <c r="V66" s="65" t="n">
        <f aca="false">IF(Assumptions!V$204&lt;Account_Register!$W$22,0,IF(MOD(Assumptions!V$204-Account_Register!$W$22,12)=0,V24,U66+V24))</f>
        <v>81894.8241007836</v>
      </c>
      <c r="W66" s="65" t="n">
        <f aca="false">IF(Assumptions!W$204&lt;Account_Register!$W$22,0,IF(MOD(Assumptions!W$204-Account_Register!$W$22,12)=0,W24,V66+W24))</f>
        <v>93768.8994607486</v>
      </c>
      <c r="X66" s="65" t="n">
        <f aca="false">IF(Assumptions!X$204&lt;Account_Register!$W$22,0,IF(MOD(Assumptions!X$204-Account_Register!$W$22,12)=0,X24,W66+X24))</f>
        <v>105999.197081513</v>
      </c>
      <c r="Y66" s="65" t="n">
        <f aca="false">IF(Assumptions!Y$204&lt;Account_Register!$W$22,0,IF(MOD(Assumptions!Y$204-Account_Register!$W$22,12)=0,Y24,X66+Y24))</f>
        <v>118596.403630899</v>
      </c>
      <c r="Z66" s="65" t="n">
        <f aca="false">IF(Assumptions!Z$204&lt;Account_Register!$W$22,0,IF(MOD(Assumptions!Z$204-Account_Register!$W$22,12)=0,Z24,Y66+Z24))</f>
        <v>131571.526376768</v>
      </c>
      <c r="AA66" s="65" t="n">
        <f aca="false">IF(Assumptions!AA$204&lt;Account_Register!$W$22,0,IF(MOD(Assumptions!AA$204-Account_Register!$W$22,12)=0,AA24,Z66+AA24))</f>
        <v>12295.2263139849</v>
      </c>
      <c r="AB66" s="65" t="n">
        <f aca="false">IF(Assumptions!AB$204&lt;Account_Register!$W$22,0,IF(MOD(Assumptions!AB$204-Account_Register!$W$22,12)=0,AB24,AA66+AB24))</f>
        <v>24959.3094173894</v>
      </c>
    </row>
    <row r="67" customFormat="false" ht="15" hidden="false" customHeight="false" outlineLevel="0" collapsed="false">
      <c r="A67" s="28" t="s">
        <v>930</v>
      </c>
      <c r="B67" s="62"/>
      <c r="C67" s="64" t="n">
        <f aca="false">P67</f>
        <v>5400</v>
      </c>
      <c r="D67" s="64" t="n">
        <f aca="false">AB67</f>
        <v>7451.65231150603</v>
      </c>
      <c r="E67" s="65" t="n">
        <f aca="false">IF(Assumptions!E$204&lt;Account_Register!$W$23,0,IF(MOD(Assumptions!E$204-Account_Register!$W$23,12)=0,E25,0+E25))</f>
        <v>0</v>
      </c>
      <c r="F67" s="65" t="n">
        <f aca="false">IF(Assumptions!F$204&lt;Account_Register!$W$23,0,IF(MOD(Assumptions!F$204-Account_Register!$W$23,12)=0,F25,E67+F25))</f>
        <v>0</v>
      </c>
      <c r="G67" s="65" t="n">
        <f aca="false">IF(Assumptions!G$204&lt;Account_Register!$W$23,0,IF(MOD(Assumptions!G$204-Account_Register!$W$23,12)=0,G25,F67+G25))</f>
        <v>0</v>
      </c>
      <c r="H67" s="65" t="n">
        <f aca="false">IF(Assumptions!H$204&lt;Account_Register!$W$23,0,IF(MOD(Assumptions!H$204-Account_Register!$W$23,12)=0,H25,G67+H25))</f>
        <v>0</v>
      </c>
      <c r="I67" s="65" t="n">
        <f aca="false">IF(Assumptions!I$204&lt;Account_Register!$W$23,0,IF(MOD(Assumptions!I$204-Account_Register!$W$23,12)=0,I25,H67+I25))</f>
        <v>0</v>
      </c>
      <c r="J67" s="65" t="n">
        <f aca="false">IF(Assumptions!J$204&lt;Account_Register!$W$23,0,IF(MOD(Assumptions!J$204-Account_Register!$W$23,12)=0,J25,I67+J25))</f>
        <v>0</v>
      </c>
      <c r="K67" s="65" t="n">
        <f aca="false">IF(Assumptions!K$204&lt;Account_Register!$W$23,0,IF(MOD(Assumptions!K$204-Account_Register!$W$23,12)=0,K25,J67+K25))</f>
        <v>0</v>
      </c>
      <c r="L67" s="65" t="n">
        <f aca="false">IF(Assumptions!L$204&lt;Account_Register!$W$23,0,IF(MOD(Assumptions!L$204-Account_Register!$W$23,12)=0,L25,K67+L25))</f>
        <v>0</v>
      </c>
      <c r="M67" s="65" t="n">
        <f aca="false">IF(Assumptions!M$204&lt;Account_Register!$W$23,0,IF(MOD(Assumptions!M$204-Account_Register!$W$23,12)=0,M25,L67+M25))</f>
        <v>0</v>
      </c>
      <c r="N67" s="65" t="n">
        <f aca="false">IF(Assumptions!N$204&lt;Account_Register!$W$23,0,IF(MOD(Assumptions!N$204-Account_Register!$W$23,12)=0,N25,M67+N25))</f>
        <v>0</v>
      </c>
      <c r="O67" s="65" t="n">
        <f aca="false">IF(Assumptions!O$204&lt;Account_Register!$W$23,0,IF(MOD(Assumptions!O$204-Account_Register!$W$23,12)=0,O25,N67+O25))</f>
        <v>0</v>
      </c>
      <c r="P67" s="65" t="n">
        <f aca="false">IF(Assumptions!P$204&lt;Account_Register!$W$23,0,IF(MOD(Assumptions!P$204-Account_Register!$W$23,12)=0,P25,O67+P25))</f>
        <v>5400</v>
      </c>
      <c r="Q67" s="65" t="n">
        <f aca="false">IF(Assumptions!Q$204&lt;Account_Register!$W$23,0,IF(MOD(Assumptions!Q$204-Account_Register!$W$23,12)=0,Q25,P67+Q25))</f>
        <v>11018.7</v>
      </c>
      <c r="R67" s="65" t="n">
        <f aca="false">IF(Assumptions!R$204&lt;Account_Register!$W$23,0,IF(MOD(Assumptions!R$204-Account_Register!$W$23,12)=0,R25,Q67+R25))</f>
        <v>16864.95735</v>
      </c>
      <c r="S67" s="65" t="n">
        <f aca="false">IF(Assumptions!S$204&lt;Account_Register!$W$23,0,IF(MOD(Assumptions!S$204-Account_Register!$W$23,12)=0,S25,R67+S25))</f>
        <v>22947.988122675</v>
      </c>
      <c r="T67" s="65" t="n">
        <f aca="false">IF(Assumptions!T$204&lt;Account_Register!$W$23,0,IF(MOD(Assumptions!T$204-Account_Register!$W$23,12)=0,T25,S67+T25))</f>
        <v>29277.3816416433</v>
      </c>
      <c r="U67" s="65" t="n">
        <f aca="false">IF(Assumptions!U$204&lt;Account_Register!$W$23,0,IF(MOD(Assumptions!U$204-Account_Register!$W$23,12)=0,U25,T67+U25))</f>
        <v>35863.1155981299</v>
      </c>
      <c r="V67" s="65" t="n">
        <f aca="false">IF(Assumptions!V$204&lt;Account_Register!$W$23,0,IF(MOD(Assumptions!V$204-Account_Register!$W$23,12)=0,V25,U67+V25))</f>
        <v>42646.4215733111</v>
      </c>
      <c r="W67" s="65" t="n">
        <f aca="false">IF(Assumptions!W$204&lt;Account_Register!$W$23,0,IF(MOD(Assumptions!W$204-Account_Register!$W$23,12)=0,W25,V67+W25))</f>
        <v>49633.2267277476</v>
      </c>
      <c r="X67" s="65" t="n">
        <f aca="false">IF(Assumptions!X$204&lt;Account_Register!$W$23,0,IF(MOD(Assumptions!X$204-Account_Register!$W$23,12)=0,X25,W67+X25))</f>
        <v>56829.6360368173</v>
      </c>
      <c r="Y67" s="65" t="n">
        <f aca="false">IF(Assumptions!Y$204&lt;Account_Register!$W$23,0,IF(MOD(Assumptions!Y$204-Account_Register!$W$23,12)=0,Y25,X67+Y25))</f>
        <v>64241.9376251591</v>
      </c>
      <c r="Z67" s="65" t="n">
        <f aca="false">IF(Assumptions!Z$204&lt;Account_Register!$W$23,0,IF(MOD(Assumptions!Z$204-Account_Register!$W$23,12)=0,Z25,Y67+Z25))</f>
        <v>71876.6082611511</v>
      </c>
      <c r="AA67" s="65" t="n">
        <f aca="false">IF(Assumptions!AA$204&lt;Account_Register!$W$23,0,IF(MOD(Assumptions!AA$204-Account_Register!$W$23,12)=0,AA25,Z67+AA25))</f>
        <v>79740.3190162229</v>
      </c>
      <c r="AB67" s="65" t="n">
        <f aca="false">IF(Assumptions!AB$204&lt;Account_Register!$W$23,0,IF(MOD(Assumptions!AB$204-Account_Register!$W$23,12)=0,AB25,AA67+AB25))</f>
        <v>7451.65231150603</v>
      </c>
    </row>
    <row r="68" customFormat="false" ht="15" hidden="false" customHeight="false" outlineLevel="0" collapsed="false">
      <c r="A68" s="28" t="s">
        <v>931</v>
      </c>
      <c r="B68" s="62"/>
      <c r="C68" s="64" t="n">
        <f aca="false">P68</f>
        <v>0</v>
      </c>
      <c r="D68" s="64" t="n">
        <f aca="false">AB68</f>
        <v>100627.251565612</v>
      </c>
      <c r="E68" s="65" t="n">
        <f aca="false">IF(Assumptions!E$204&lt;Account_Register!$W$24,0,IF(MOD(Assumptions!E$204-Account_Register!$W$24,12)=0,E26,0+E26))</f>
        <v>0</v>
      </c>
      <c r="F68" s="65" t="n">
        <f aca="false">IF(Assumptions!F$204&lt;Account_Register!$W$24,0,IF(MOD(Assumptions!F$204-Account_Register!$W$24,12)=0,F26,E68+F26))</f>
        <v>0</v>
      </c>
      <c r="G68" s="65" t="n">
        <f aca="false">IF(Assumptions!G$204&lt;Account_Register!$W$24,0,IF(MOD(Assumptions!G$204-Account_Register!$W$24,12)=0,G26,F68+G26))</f>
        <v>0</v>
      </c>
      <c r="H68" s="65" t="n">
        <f aca="false">IF(Assumptions!H$204&lt;Account_Register!$W$24,0,IF(MOD(Assumptions!H$204-Account_Register!$W$24,12)=0,H26,G68+H26))</f>
        <v>0</v>
      </c>
      <c r="I68" s="65" t="n">
        <f aca="false">IF(Assumptions!I$204&lt;Account_Register!$W$24,0,IF(MOD(Assumptions!I$204-Account_Register!$W$24,12)=0,I26,H68+I26))</f>
        <v>0</v>
      </c>
      <c r="J68" s="65" t="n">
        <f aca="false">IF(Assumptions!J$204&lt;Account_Register!$W$24,0,IF(MOD(Assumptions!J$204-Account_Register!$W$24,12)=0,J26,I68+J26))</f>
        <v>0</v>
      </c>
      <c r="K68" s="65" t="n">
        <f aca="false">IF(Assumptions!K$204&lt;Account_Register!$W$24,0,IF(MOD(Assumptions!K$204-Account_Register!$W$24,12)=0,K26,J68+K26))</f>
        <v>0</v>
      </c>
      <c r="L68" s="65" t="n">
        <f aca="false">IF(Assumptions!L$204&lt;Account_Register!$W$24,0,IF(MOD(Assumptions!L$204-Account_Register!$W$24,12)=0,L26,K68+L26))</f>
        <v>0</v>
      </c>
      <c r="M68" s="65" t="n">
        <f aca="false">IF(Assumptions!M$204&lt;Account_Register!$W$24,0,IF(MOD(Assumptions!M$204-Account_Register!$W$24,12)=0,M26,L68+M26))</f>
        <v>0</v>
      </c>
      <c r="N68" s="65" t="n">
        <f aca="false">IF(Assumptions!N$204&lt;Account_Register!$W$24,0,IF(MOD(Assumptions!N$204-Account_Register!$W$24,12)=0,N26,M68+N26))</f>
        <v>0</v>
      </c>
      <c r="O68" s="65" t="n">
        <f aca="false">IF(Assumptions!O$204&lt;Account_Register!$W$24,0,IF(MOD(Assumptions!O$204-Account_Register!$W$24,12)=0,O26,N68+O26))</f>
        <v>0</v>
      </c>
      <c r="P68" s="65" t="n">
        <f aca="false">IF(Assumptions!P$204&lt;Account_Register!$W$24,0,IF(MOD(Assumptions!P$204-Account_Register!$W$24,12)=0,P26,O68+P26))</f>
        <v>0</v>
      </c>
      <c r="Q68" s="65" t="n">
        <f aca="false">IF(Assumptions!Q$204&lt;Account_Register!$W$24,0,IF(MOD(Assumptions!Q$204-Account_Register!$W$24,12)=0,Q26,P68+Q26))</f>
        <v>0</v>
      </c>
      <c r="R68" s="65" t="n">
        <f aca="false">IF(Assumptions!R$204&lt;Account_Register!$W$24,0,IF(MOD(Assumptions!R$204-Account_Register!$W$24,12)=0,R26,Q68+R26))</f>
        <v>7560</v>
      </c>
      <c r="S68" s="65" t="n">
        <f aca="false">IF(Assumptions!S$204&lt;Account_Register!$W$24,0,IF(MOD(Assumptions!S$204-Account_Register!$W$24,12)=0,S26,R68+S26))</f>
        <v>15426.18</v>
      </c>
      <c r="T68" s="65" t="n">
        <f aca="false">IF(Assumptions!T$204&lt;Account_Register!$W$24,0,IF(MOD(Assumptions!T$204-Account_Register!$W$24,12)=0,T26,S68+T26))</f>
        <v>23610.94029</v>
      </c>
      <c r="U68" s="65" t="n">
        <f aca="false">IF(Assumptions!U$204&lt;Account_Register!$W$24,0,IF(MOD(Assumptions!U$204-Account_Register!$W$24,12)=0,U26,T68+U26))</f>
        <v>32127.183371745</v>
      </c>
      <c r="V68" s="65" t="n">
        <f aca="false">IF(Assumptions!V$204&lt;Account_Register!$W$24,0,IF(MOD(Assumptions!V$204-Account_Register!$W$24,12)=0,V26,U68+V26))</f>
        <v>40988.3342983007</v>
      </c>
      <c r="W68" s="65" t="n">
        <f aca="false">IF(Assumptions!W$204&lt;Account_Register!$W$24,0,IF(MOD(Assumptions!W$204-Account_Register!$W$24,12)=0,W26,V68+W26))</f>
        <v>50208.3618373818</v>
      </c>
      <c r="X68" s="65" t="n">
        <f aca="false">IF(Assumptions!X$204&lt;Account_Register!$W$24,0,IF(MOD(Assumptions!X$204-Account_Register!$W$24,12)=0,X26,W68+X26))</f>
        <v>59704.9902026355</v>
      </c>
      <c r="Y68" s="65" t="n">
        <f aca="false">IF(Assumptions!Y$204&lt;Account_Register!$W$24,0,IF(MOD(Assumptions!Y$204-Account_Register!$W$24,12)=0,Y26,X68+Y26))</f>
        <v>69486.5174188467</v>
      </c>
      <c r="Z68" s="65" t="n">
        <f aca="false">IF(Assumptions!Z$204&lt;Account_Register!$W$24,0,IF(MOD(Assumptions!Z$204-Account_Register!$W$24,12)=0,Z26,Y68+Z26))</f>
        <v>79561.4904515442</v>
      </c>
      <c r="AA68" s="65" t="n">
        <f aca="false">IF(Assumptions!AA$204&lt;Account_Register!$W$24,0,IF(MOD(Assumptions!AA$204-Account_Register!$W$24,12)=0,AA26,Z68+AA26))</f>
        <v>89938.7126752227</v>
      </c>
      <c r="AB68" s="65" t="n">
        <f aca="false">IF(Assumptions!AB$204&lt;Account_Register!$W$24,0,IF(MOD(Assumptions!AB$204-Account_Register!$W$24,12)=0,AB26,AA68+AB26))</f>
        <v>100627.251565612</v>
      </c>
    </row>
    <row r="69" customFormat="false" ht="15" hidden="false" customHeight="false" outlineLevel="0" collapsed="false">
      <c r="A69" s="28" t="s">
        <v>932</v>
      </c>
      <c r="B69" s="62"/>
      <c r="C69" s="64" t="n">
        <f aca="false">P69</f>
        <v>0</v>
      </c>
      <c r="D69" s="64" t="n">
        <f aca="false">AB69</f>
        <v>48181.4532188693</v>
      </c>
      <c r="E69" s="65" t="n">
        <f aca="false">IF(Assumptions!E$204&lt;Account_Register!$W$25,0,IF(MOD(Assumptions!E$204-Account_Register!$W$25,12)=0,E27,0+E27))</f>
        <v>0</v>
      </c>
      <c r="F69" s="65" t="n">
        <f aca="false">IF(Assumptions!F$204&lt;Account_Register!$W$25,0,IF(MOD(Assumptions!F$204-Account_Register!$W$25,12)=0,F27,E69+F27))</f>
        <v>0</v>
      </c>
      <c r="G69" s="65" t="n">
        <f aca="false">IF(Assumptions!G$204&lt;Account_Register!$W$25,0,IF(MOD(Assumptions!G$204-Account_Register!$W$25,12)=0,G27,F69+G27))</f>
        <v>0</v>
      </c>
      <c r="H69" s="65" t="n">
        <f aca="false">IF(Assumptions!H$204&lt;Account_Register!$W$25,0,IF(MOD(Assumptions!H$204-Account_Register!$W$25,12)=0,H27,G69+H27))</f>
        <v>0</v>
      </c>
      <c r="I69" s="65" t="n">
        <f aca="false">IF(Assumptions!I$204&lt;Account_Register!$W$25,0,IF(MOD(Assumptions!I$204-Account_Register!$W$25,12)=0,I27,H69+I27))</f>
        <v>0</v>
      </c>
      <c r="J69" s="65" t="n">
        <f aca="false">IF(Assumptions!J$204&lt;Account_Register!$W$25,0,IF(MOD(Assumptions!J$204-Account_Register!$W$25,12)=0,J27,I69+J27))</f>
        <v>0</v>
      </c>
      <c r="K69" s="65" t="n">
        <f aca="false">IF(Assumptions!K$204&lt;Account_Register!$W$25,0,IF(MOD(Assumptions!K$204-Account_Register!$W$25,12)=0,K27,J69+K27))</f>
        <v>0</v>
      </c>
      <c r="L69" s="65" t="n">
        <f aca="false">IF(Assumptions!L$204&lt;Account_Register!$W$25,0,IF(MOD(Assumptions!L$204-Account_Register!$W$25,12)=0,L27,K69+L27))</f>
        <v>0</v>
      </c>
      <c r="M69" s="65" t="n">
        <f aca="false">IF(Assumptions!M$204&lt;Account_Register!$W$25,0,IF(MOD(Assumptions!M$204-Account_Register!$W$25,12)=0,M27,L69+M27))</f>
        <v>0</v>
      </c>
      <c r="N69" s="65" t="n">
        <f aca="false">IF(Assumptions!N$204&lt;Account_Register!$W$25,0,IF(MOD(Assumptions!N$204-Account_Register!$W$25,12)=0,N27,M69+N27))</f>
        <v>0</v>
      </c>
      <c r="O69" s="65" t="n">
        <f aca="false">IF(Assumptions!O$204&lt;Account_Register!$W$25,0,IF(MOD(Assumptions!O$204-Account_Register!$W$25,12)=0,O27,N69+O27))</f>
        <v>0</v>
      </c>
      <c r="P69" s="65" t="n">
        <f aca="false">IF(Assumptions!P$204&lt;Account_Register!$W$25,0,IF(MOD(Assumptions!P$204-Account_Register!$W$25,12)=0,P27,O69+P27))</f>
        <v>0</v>
      </c>
      <c r="Q69" s="65" t="n">
        <f aca="false">IF(Assumptions!Q$204&lt;Account_Register!$W$25,0,IF(MOD(Assumptions!Q$204-Account_Register!$W$25,12)=0,Q27,P69+Q27))</f>
        <v>0</v>
      </c>
      <c r="R69" s="65" t="n">
        <f aca="false">IF(Assumptions!R$204&lt;Account_Register!$W$25,0,IF(MOD(Assumptions!R$204-Account_Register!$W$25,12)=0,R27,Q69+R27))</f>
        <v>0</v>
      </c>
      <c r="S69" s="65" t="n">
        <f aca="false">IF(Assumptions!S$204&lt;Account_Register!$W$25,0,IF(MOD(Assumptions!S$204-Account_Register!$W$25,12)=0,S27,R69+S27))</f>
        <v>4050</v>
      </c>
      <c r="T69" s="65" t="n">
        <f aca="false">IF(Assumptions!T$204&lt;Account_Register!$W$25,0,IF(MOD(Assumptions!T$204-Account_Register!$W$25,12)=0,T27,S69+T27))</f>
        <v>8264.025</v>
      </c>
      <c r="U69" s="65" t="n">
        <f aca="false">IF(Assumptions!U$204&lt;Account_Register!$W$25,0,IF(MOD(Assumptions!U$204-Account_Register!$W$25,12)=0,U27,T69+U27))</f>
        <v>12648.7180125</v>
      </c>
      <c r="V69" s="65" t="n">
        <f aca="false">IF(Assumptions!V$204&lt;Account_Register!$W$25,0,IF(MOD(Assumptions!V$204-Account_Register!$W$25,12)=0,V27,U69+V27))</f>
        <v>17210.9910920063</v>
      </c>
      <c r="W69" s="65" t="n">
        <f aca="false">IF(Assumptions!W$204&lt;Account_Register!$W$25,0,IF(MOD(Assumptions!W$204-Account_Register!$W$25,12)=0,W27,V69+W27))</f>
        <v>21958.0362312325</v>
      </c>
      <c r="X69" s="65" t="n">
        <f aca="false">IF(Assumptions!X$204&lt;Account_Register!$W$25,0,IF(MOD(Assumptions!X$204-Account_Register!$W$25,12)=0,X27,W69+X27))</f>
        <v>26897.3366985974</v>
      </c>
      <c r="Y69" s="65" t="n">
        <f aca="false">IF(Assumptions!Y$204&lt;Account_Register!$W$25,0,IF(MOD(Assumptions!Y$204-Account_Register!$W$25,12)=0,Y27,X69+Y27))</f>
        <v>31984.8161799833</v>
      </c>
      <c r="Z69" s="65" t="n">
        <f aca="false">IF(Assumptions!Z$204&lt;Account_Register!$W$25,0,IF(MOD(Assumptions!Z$204-Account_Register!$W$25,12)=0,Z27,Y69+Z27))</f>
        <v>37224.9200458107</v>
      </c>
      <c r="AA69" s="65" t="n">
        <f aca="false">IF(Assumptions!AA$204&lt;Account_Register!$W$25,0,IF(MOD(Assumptions!AA$204-Account_Register!$W$25,12)=0,AA27,Z69+AA27))</f>
        <v>42622.227027613</v>
      </c>
      <c r="AB69" s="65" t="n">
        <f aca="false">IF(Assumptions!AB$204&lt;Account_Register!$W$25,0,IF(MOD(Assumptions!AB$204-Account_Register!$W$25,12)=0,AB27,AA69+AB27))</f>
        <v>48181.4532188693</v>
      </c>
    </row>
    <row r="70" customFormat="false" ht="15" hidden="false" customHeight="false" outlineLevel="0" collapsed="false">
      <c r="A70" s="28" t="s">
        <v>933</v>
      </c>
      <c r="B70" s="62"/>
      <c r="C70" s="64" t="n">
        <f aca="false">P70</f>
        <v>0</v>
      </c>
      <c r="D70" s="64" t="n">
        <f aca="false">AB70</f>
        <v>55837.3800687161</v>
      </c>
      <c r="E70" s="65" t="n">
        <f aca="false">IF(Assumptions!E$204&lt;Account_Register!$W$26,0,IF(MOD(Assumptions!E$204-Account_Register!$W$26,12)=0,E28,0+E28))</f>
        <v>0</v>
      </c>
      <c r="F70" s="65" t="n">
        <f aca="false">IF(Assumptions!F$204&lt;Account_Register!$W$26,0,IF(MOD(Assumptions!F$204-Account_Register!$W$26,12)=0,F28,E70+F28))</f>
        <v>0</v>
      </c>
      <c r="G70" s="65" t="n">
        <f aca="false">IF(Assumptions!G$204&lt;Account_Register!$W$26,0,IF(MOD(Assumptions!G$204-Account_Register!$W$26,12)=0,G28,F70+G28))</f>
        <v>0</v>
      </c>
      <c r="H70" s="65" t="n">
        <f aca="false">IF(Assumptions!H$204&lt;Account_Register!$W$26,0,IF(MOD(Assumptions!H$204-Account_Register!$W$26,12)=0,H28,G70+H28))</f>
        <v>0</v>
      </c>
      <c r="I70" s="65" t="n">
        <f aca="false">IF(Assumptions!I$204&lt;Account_Register!$W$26,0,IF(MOD(Assumptions!I$204-Account_Register!$W$26,12)=0,I28,H70+I28))</f>
        <v>0</v>
      </c>
      <c r="J70" s="65" t="n">
        <f aca="false">IF(Assumptions!J$204&lt;Account_Register!$W$26,0,IF(MOD(Assumptions!J$204-Account_Register!$W$26,12)=0,J28,I70+J28))</f>
        <v>0</v>
      </c>
      <c r="K70" s="65" t="n">
        <f aca="false">IF(Assumptions!K$204&lt;Account_Register!$W$26,0,IF(MOD(Assumptions!K$204-Account_Register!$W$26,12)=0,K28,J70+K28))</f>
        <v>0</v>
      </c>
      <c r="L70" s="65" t="n">
        <f aca="false">IF(Assumptions!L$204&lt;Account_Register!$W$26,0,IF(MOD(Assumptions!L$204-Account_Register!$W$26,12)=0,L28,K70+L28))</f>
        <v>0</v>
      </c>
      <c r="M70" s="65" t="n">
        <f aca="false">IF(Assumptions!M$204&lt;Account_Register!$W$26,0,IF(MOD(Assumptions!M$204-Account_Register!$W$26,12)=0,M28,L70+M28))</f>
        <v>0</v>
      </c>
      <c r="N70" s="65" t="n">
        <f aca="false">IF(Assumptions!N$204&lt;Account_Register!$W$26,0,IF(MOD(Assumptions!N$204-Account_Register!$W$26,12)=0,N28,M70+N28))</f>
        <v>0</v>
      </c>
      <c r="O70" s="65" t="n">
        <f aca="false">IF(Assumptions!O$204&lt;Account_Register!$W$26,0,IF(MOD(Assumptions!O$204-Account_Register!$W$26,12)=0,O28,N70+O28))</f>
        <v>0</v>
      </c>
      <c r="P70" s="65" t="n">
        <f aca="false">IF(Assumptions!P$204&lt;Account_Register!$W$26,0,IF(MOD(Assumptions!P$204-Account_Register!$W$26,12)=0,P28,O70+P28))</f>
        <v>0</v>
      </c>
      <c r="Q70" s="65" t="n">
        <f aca="false">IF(Assumptions!Q$204&lt;Account_Register!$W$26,0,IF(MOD(Assumptions!Q$204-Account_Register!$W$26,12)=0,Q28,P70+Q28))</f>
        <v>0</v>
      </c>
      <c r="R70" s="65" t="n">
        <f aca="false">IF(Assumptions!R$204&lt;Account_Register!$W$26,0,IF(MOD(Assumptions!R$204-Account_Register!$W$26,12)=0,R28,Q70+R28))</f>
        <v>0</v>
      </c>
      <c r="S70" s="65" t="n">
        <f aca="false">IF(Assumptions!S$204&lt;Account_Register!$W$26,0,IF(MOD(Assumptions!S$204-Account_Register!$W$26,12)=0,S28,R70+S28))</f>
        <v>0</v>
      </c>
      <c r="T70" s="65" t="n">
        <f aca="false">IF(Assumptions!T$204&lt;Account_Register!$W$26,0,IF(MOD(Assumptions!T$204-Account_Register!$W$26,12)=0,T28,S70+T28))</f>
        <v>0</v>
      </c>
      <c r="U70" s="65" t="n">
        <f aca="false">IF(Assumptions!U$204&lt;Account_Register!$W$26,0,IF(MOD(Assumptions!U$204-Account_Register!$W$26,12)=0,U28,T70+U28))</f>
        <v>6075</v>
      </c>
      <c r="V70" s="65" t="n">
        <f aca="false">IF(Assumptions!V$204&lt;Account_Register!$W$26,0,IF(MOD(Assumptions!V$204-Account_Register!$W$26,12)=0,V28,U70+V28))</f>
        <v>12396.0375</v>
      </c>
      <c r="W70" s="65" t="n">
        <f aca="false">IF(Assumptions!W$204&lt;Account_Register!$W$26,0,IF(MOD(Assumptions!W$204-Account_Register!$W$26,12)=0,W28,V70+W28))</f>
        <v>18973.07701875</v>
      </c>
      <c r="X70" s="65" t="n">
        <f aca="false">IF(Assumptions!X$204&lt;Account_Register!$W$26,0,IF(MOD(Assumptions!X$204-Account_Register!$W$26,12)=0,X28,W70+X28))</f>
        <v>25816.4866380094</v>
      </c>
      <c r="Y70" s="65" t="n">
        <f aca="false">IF(Assumptions!Y$204&lt;Account_Register!$W$26,0,IF(MOD(Assumptions!Y$204-Account_Register!$W$26,12)=0,Y28,X70+Y28))</f>
        <v>32937.0543468488</v>
      </c>
      <c r="Z70" s="65" t="n">
        <f aca="false">IF(Assumptions!Z$204&lt;Account_Register!$W$26,0,IF(MOD(Assumptions!Z$204-Account_Register!$W$26,12)=0,Z28,Y70+Z28))</f>
        <v>40346.0050478961</v>
      </c>
      <c r="AA70" s="65" t="n">
        <f aca="false">IF(Assumptions!AA$204&lt;Account_Register!$W$26,0,IF(MOD(Assumptions!AA$204-Account_Register!$W$26,12)=0,AA28,Z70+AA28))</f>
        <v>47977.2242699749</v>
      </c>
      <c r="AB70" s="65" t="n">
        <f aca="false">IF(Assumptions!AB$204&lt;Account_Register!$W$26,0,IF(MOD(Assumptions!AB$204-Account_Register!$W$26,12)=0,AB28,AA70+AB28))</f>
        <v>55837.3800687161</v>
      </c>
    </row>
    <row r="71" customFormat="false" ht="15" hidden="false" customHeight="false" outlineLevel="0" collapsed="false">
      <c r="A71" s="22" t="s">
        <v>935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row>
    <row r="72" customFormat="false" ht="15" hidden="false" customHeight="false" outlineLevel="0" collapsed="false">
      <c r="A72" s="28" t="s">
        <v>913</v>
      </c>
      <c r="B72" s="62"/>
      <c r="C72" s="64" t="n">
        <f aca="false">SUM(E72:P72)</f>
        <v>372500</v>
      </c>
      <c r="D72" s="64" t="n">
        <f aca="false">SUM(Q72:AB72)</f>
        <v>440000</v>
      </c>
      <c r="E72" s="73" t="n">
        <f aca="false">0</f>
        <v>0</v>
      </c>
      <c r="F72" s="73" t="n">
        <f aca="false">0</f>
        <v>0</v>
      </c>
      <c r="G72" s="73" t="n">
        <f aca="false">G30/4</f>
        <v>87500</v>
      </c>
      <c r="H72" s="73" t="n">
        <f aca="false">0</f>
        <v>0</v>
      </c>
      <c r="I72" s="73" t="n">
        <f aca="false">0</f>
        <v>0</v>
      </c>
      <c r="J72" s="73" t="n">
        <f aca="false">J30/4</f>
        <v>95000</v>
      </c>
      <c r="K72" s="73" t="n">
        <f aca="false">0</f>
        <v>0</v>
      </c>
      <c r="L72" s="73" t="n">
        <f aca="false">0</f>
        <v>0</v>
      </c>
      <c r="M72" s="73" t="n">
        <f aca="false">M30/4</f>
        <v>95000</v>
      </c>
      <c r="N72" s="73" t="n">
        <f aca="false">0</f>
        <v>0</v>
      </c>
      <c r="O72" s="73" t="n">
        <f aca="false">0</f>
        <v>0</v>
      </c>
      <c r="P72" s="73" t="n">
        <f aca="false">P30/4</f>
        <v>95000</v>
      </c>
      <c r="Q72" s="73" t="n">
        <f aca="false">0</f>
        <v>0</v>
      </c>
      <c r="R72" s="73" t="n">
        <f aca="false">0</f>
        <v>0</v>
      </c>
      <c r="S72" s="73" t="n">
        <f aca="false">S30/4</f>
        <v>95000</v>
      </c>
      <c r="T72" s="73" t="n">
        <f aca="false">0</f>
        <v>0</v>
      </c>
      <c r="U72" s="73" t="n">
        <f aca="false">0</f>
        <v>0</v>
      </c>
      <c r="V72" s="73" t="n">
        <f aca="false">V30/4</f>
        <v>115000</v>
      </c>
      <c r="W72" s="73" t="n">
        <f aca="false">0</f>
        <v>0</v>
      </c>
      <c r="X72" s="73" t="n">
        <f aca="false">0</f>
        <v>0</v>
      </c>
      <c r="Y72" s="73" t="n">
        <f aca="false">Y30/4</f>
        <v>115000</v>
      </c>
      <c r="Z72" s="73" t="n">
        <f aca="false">0</f>
        <v>0</v>
      </c>
      <c r="AA72" s="73" t="n">
        <f aca="false">0</f>
        <v>0</v>
      </c>
      <c r="AB72" s="73" t="n">
        <f aca="false">AB30/4</f>
        <v>115000</v>
      </c>
    </row>
    <row r="73" customFormat="false" ht="15" hidden="false" customHeight="false" outlineLevel="0" collapsed="false">
      <c r="A73" s="28" t="s">
        <v>915</v>
      </c>
      <c r="B73" s="62"/>
      <c r="C73" s="64" t="n">
        <f aca="false">SUM(E73:P73)</f>
        <v>277500</v>
      </c>
      <c r="D73" s="64" t="n">
        <f aca="false">SUM(Q73:AB73)</f>
        <v>267750</v>
      </c>
      <c r="E73" s="73" t="n">
        <f aca="false">E31/4</f>
        <v>70000</v>
      </c>
      <c r="F73" s="73" t="n">
        <f aca="false">0</f>
        <v>0</v>
      </c>
      <c r="G73" s="73" t="n">
        <f aca="false">0</f>
        <v>0</v>
      </c>
      <c r="H73" s="73" t="n">
        <f aca="false">H31/4</f>
        <v>70000</v>
      </c>
      <c r="I73" s="73" t="n">
        <f aca="false">0</f>
        <v>0</v>
      </c>
      <c r="J73" s="73" t="n">
        <f aca="false">0</f>
        <v>0</v>
      </c>
      <c r="K73" s="73" t="n">
        <f aca="false">K31/4</f>
        <v>70000</v>
      </c>
      <c r="L73" s="73" t="n">
        <f aca="false">0</f>
        <v>0</v>
      </c>
      <c r="M73" s="73" t="n">
        <f aca="false">0</f>
        <v>0</v>
      </c>
      <c r="N73" s="73" t="n">
        <f aca="false">N31/4</f>
        <v>67500</v>
      </c>
      <c r="O73" s="73" t="n">
        <f aca="false">0</f>
        <v>0</v>
      </c>
      <c r="P73" s="73" t="n">
        <f aca="false">0</f>
        <v>0</v>
      </c>
      <c r="Q73" s="73" t="n">
        <f aca="false">Q31/4</f>
        <v>67500</v>
      </c>
      <c r="R73" s="73" t="n">
        <f aca="false">0</f>
        <v>0</v>
      </c>
      <c r="S73" s="73" t="n">
        <f aca="false">0</f>
        <v>0</v>
      </c>
      <c r="T73" s="73" t="n">
        <f aca="false">T31/4</f>
        <v>67500</v>
      </c>
      <c r="U73" s="73" t="n">
        <f aca="false">0</f>
        <v>0</v>
      </c>
      <c r="V73" s="73" t="n">
        <f aca="false">0</f>
        <v>0</v>
      </c>
      <c r="W73" s="73" t="n">
        <f aca="false">W31/4</f>
        <v>67500</v>
      </c>
      <c r="X73" s="73" t="n">
        <f aca="false">0</f>
        <v>0</v>
      </c>
      <c r="Y73" s="73" t="n">
        <f aca="false">0</f>
        <v>0</v>
      </c>
      <c r="Z73" s="73" t="n">
        <f aca="false">Z31/4</f>
        <v>65250</v>
      </c>
      <c r="AA73" s="73" t="n">
        <f aca="false">0</f>
        <v>0</v>
      </c>
      <c r="AB73" s="73" t="n">
        <f aca="false">0</f>
        <v>0</v>
      </c>
    </row>
    <row r="74" customFormat="false" ht="15" hidden="false" customHeight="false" outlineLevel="0" collapsed="false">
      <c r="A74" s="28" t="s">
        <v>916</v>
      </c>
      <c r="B74" s="62"/>
      <c r="C74" s="64" t="n">
        <f aca="false">SUM(E74:P74)</f>
        <v>320000</v>
      </c>
      <c r="D74" s="64" t="n">
        <f aca="false">SUM(Q74:AB74)</f>
        <v>342000</v>
      </c>
      <c r="E74" s="73" t="n">
        <f aca="false">0</f>
        <v>0</v>
      </c>
      <c r="F74" s="73" t="n">
        <f aca="false">F32/4</f>
        <v>80000</v>
      </c>
      <c r="G74" s="73" t="n">
        <f aca="false">0</f>
        <v>0</v>
      </c>
      <c r="H74" s="73" t="n">
        <f aca="false">0</f>
        <v>0</v>
      </c>
      <c r="I74" s="73" t="n">
        <f aca="false">I32/4</f>
        <v>80000</v>
      </c>
      <c r="J74" s="73" t="n">
        <f aca="false">0</f>
        <v>0</v>
      </c>
      <c r="K74" s="73" t="n">
        <f aca="false">0</f>
        <v>0</v>
      </c>
      <c r="L74" s="73" t="n">
        <f aca="false">L32/4</f>
        <v>80000</v>
      </c>
      <c r="M74" s="73" t="n">
        <f aca="false">0</f>
        <v>0</v>
      </c>
      <c r="N74" s="73" t="n">
        <f aca="false">0</f>
        <v>0</v>
      </c>
      <c r="O74" s="73" t="n">
        <f aca="false">O32/4</f>
        <v>80000</v>
      </c>
      <c r="P74" s="73" t="n">
        <f aca="false">0</f>
        <v>0</v>
      </c>
      <c r="Q74" s="73" t="n">
        <f aca="false">0</f>
        <v>0</v>
      </c>
      <c r="R74" s="73" t="n">
        <f aca="false">R32/4</f>
        <v>85500</v>
      </c>
      <c r="S74" s="73" t="n">
        <f aca="false">0</f>
        <v>0</v>
      </c>
      <c r="T74" s="73" t="n">
        <f aca="false">0</f>
        <v>0</v>
      </c>
      <c r="U74" s="73" t="n">
        <f aca="false">U32/4</f>
        <v>85500</v>
      </c>
      <c r="V74" s="73" t="n">
        <f aca="false">0</f>
        <v>0</v>
      </c>
      <c r="W74" s="73" t="n">
        <f aca="false">0</f>
        <v>0</v>
      </c>
      <c r="X74" s="73" t="n">
        <f aca="false">X32/4</f>
        <v>85500</v>
      </c>
      <c r="Y74" s="73" t="n">
        <f aca="false">0</f>
        <v>0</v>
      </c>
      <c r="Z74" s="73" t="n">
        <f aca="false">0</f>
        <v>0</v>
      </c>
      <c r="AA74" s="73" t="n">
        <f aca="false">AA32/4</f>
        <v>85500</v>
      </c>
      <c r="AB74" s="73" t="n">
        <f aca="false">0</f>
        <v>0</v>
      </c>
    </row>
    <row r="75" customFormat="false" ht="15" hidden="false" customHeight="false" outlineLevel="0" collapsed="false">
      <c r="A75" s="28" t="s">
        <v>917</v>
      </c>
      <c r="B75" s="62"/>
      <c r="C75" s="64" t="n">
        <f aca="false">SUM(E75:P75)</f>
        <v>205000</v>
      </c>
      <c r="D75" s="64" t="n">
        <f aca="false">SUM(Q75:AB75)</f>
        <v>199125</v>
      </c>
      <c r="E75" s="73" t="n">
        <f aca="false">E33/4</f>
        <v>47500</v>
      </c>
      <c r="F75" s="73" t="n">
        <f aca="false">0</f>
        <v>0</v>
      </c>
      <c r="G75" s="73" t="n">
        <f aca="false">0</f>
        <v>0</v>
      </c>
      <c r="H75" s="73" t="n">
        <f aca="false">H33/4</f>
        <v>52500</v>
      </c>
      <c r="I75" s="73" t="n">
        <f aca="false">0</f>
        <v>0</v>
      </c>
      <c r="J75" s="73" t="n">
        <f aca="false">0</f>
        <v>0</v>
      </c>
      <c r="K75" s="73" t="n">
        <f aca="false">K33/4</f>
        <v>52500</v>
      </c>
      <c r="L75" s="73" t="n">
        <f aca="false">0</f>
        <v>0</v>
      </c>
      <c r="M75" s="73" t="n">
        <f aca="false">0</f>
        <v>0</v>
      </c>
      <c r="N75" s="73" t="n">
        <f aca="false">N33/4</f>
        <v>52500</v>
      </c>
      <c r="O75" s="73" t="n">
        <f aca="false">0</f>
        <v>0</v>
      </c>
      <c r="P75" s="73" t="n">
        <f aca="false">0</f>
        <v>0</v>
      </c>
      <c r="Q75" s="73" t="n">
        <f aca="false">Q33/4</f>
        <v>52500</v>
      </c>
      <c r="R75" s="73" t="n">
        <f aca="false">0</f>
        <v>0</v>
      </c>
      <c r="S75" s="73" t="n">
        <f aca="false">0</f>
        <v>0</v>
      </c>
      <c r="T75" s="73" t="n">
        <f aca="false">T33/4</f>
        <v>48875</v>
      </c>
      <c r="U75" s="73" t="n">
        <f aca="false">0</f>
        <v>0</v>
      </c>
      <c r="V75" s="73" t="n">
        <f aca="false">0</f>
        <v>0</v>
      </c>
      <c r="W75" s="73" t="n">
        <f aca="false">W33/4</f>
        <v>48875</v>
      </c>
      <c r="X75" s="73" t="n">
        <f aca="false">0</f>
        <v>0</v>
      </c>
      <c r="Y75" s="73" t="n">
        <f aca="false">0</f>
        <v>0</v>
      </c>
      <c r="Z75" s="73" t="n">
        <f aca="false">Z33/4</f>
        <v>48875</v>
      </c>
      <c r="AA75" s="73" t="n">
        <f aca="false">0</f>
        <v>0</v>
      </c>
      <c r="AB75" s="73" t="n">
        <f aca="false">0</f>
        <v>0</v>
      </c>
    </row>
    <row r="76" customFormat="false" ht="15" hidden="false" customHeight="false" outlineLevel="0" collapsed="false">
      <c r="A76" s="28" t="s">
        <v>918</v>
      </c>
      <c r="B76" s="62"/>
      <c r="C76" s="64" t="n">
        <f aca="false">SUM(E76:P76)</f>
        <v>250000</v>
      </c>
      <c r="D76" s="64" t="n">
        <f aca="false">SUM(Q76:AB76)</f>
        <v>258800</v>
      </c>
      <c r="E76" s="73" t="n">
        <f aca="false">E34/4</f>
        <v>60000</v>
      </c>
      <c r="F76" s="73" t="n">
        <f aca="false">0</f>
        <v>0</v>
      </c>
      <c r="G76" s="73" t="n">
        <f aca="false">0</f>
        <v>0</v>
      </c>
      <c r="H76" s="73" t="n">
        <f aca="false">H34/4</f>
        <v>60000</v>
      </c>
      <c r="I76" s="73" t="n">
        <f aca="false">0</f>
        <v>0</v>
      </c>
      <c r="J76" s="73" t="n">
        <f aca="false">0</f>
        <v>0</v>
      </c>
      <c r="K76" s="73" t="n">
        <f aca="false">K34/4</f>
        <v>65000</v>
      </c>
      <c r="L76" s="73" t="n">
        <f aca="false">0</f>
        <v>0</v>
      </c>
      <c r="M76" s="73" t="n">
        <f aca="false">0</f>
        <v>0</v>
      </c>
      <c r="N76" s="73" t="n">
        <f aca="false">N34/4</f>
        <v>65000</v>
      </c>
      <c r="O76" s="73" t="n">
        <f aca="false">0</f>
        <v>0</v>
      </c>
      <c r="P76" s="73" t="n">
        <f aca="false">0</f>
        <v>0</v>
      </c>
      <c r="Q76" s="73" t="n">
        <f aca="false">Q34/4</f>
        <v>65000</v>
      </c>
      <c r="R76" s="73" t="n">
        <f aca="false">0</f>
        <v>0</v>
      </c>
      <c r="S76" s="73" t="n">
        <f aca="false">0</f>
        <v>0</v>
      </c>
      <c r="T76" s="73" t="n">
        <f aca="false">T34/4</f>
        <v>65000</v>
      </c>
      <c r="U76" s="73" t="n">
        <f aca="false">0</f>
        <v>0</v>
      </c>
      <c r="V76" s="73" t="n">
        <f aca="false">0</f>
        <v>0</v>
      </c>
      <c r="W76" s="73" t="n">
        <f aca="false">W34/4</f>
        <v>64400</v>
      </c>
      <c r="X76" s="73" t="n">
        <f aca="false">0</f>
        <v>0</v>
      </c>
      <c r="Y76" s="73" t="n">
        <f aca="false">0</f>
        <v>0</v>
      </c>
      <c r="Z76" s="73" t="n">
        <f aca="false">Z34/4</f>
        <v>64400</v>
      </c>
      <c r="AA76" s="73" t="n">
        <f aca="false">0</f>
        <v>0</v>
      </c>
      <c r="AB76" s="73" t="n">
        <f aca="false">0</f>
        <v>0</v>
      </c>
    </row>
    <row r="77" customFormat="false" ht="15" hidden="false" customHeight="false" outlineLevel="0" collapsed="false">
      <c r="A77" s="28" t="s">
        <v>919</v>
      </c>
      <c r="B77" s="62"/>
      <c r="C77" s="64" t="n">
        <f aca="false">SUM(E77:P77)</f>
        <v>218000</v>
      </c>
      <c r="D77" s="64" t="n">
        <f aca="false">SUM(Q77:AB77)</f>
        <v>211500</v>
      </c>
      <c r="E77" s="73" t="n">
        <f aca="false">0</f>
        <v>0</v>
      </c>
      <c r="F77" s="73" t="n">
        <f aca="false">0</f>
        <v>0</v>
      </c>
      <c r="G77" s="73" t="n">
        <f aca="false">G35/4</f>
        <v>55000</v>
      </c>
      <c r="H77" s="73" t="n">
        <f aca="false">0</f>
        <v>0</v>
      </c>
      <c r="I77" s="73" t="n">
        <f aca="false">0</f>
        <v>0</v>
      </c>
      <c r="J77" s="73" t="n">
        <f aca="false">J35/4</f>
        <v>55000</v>
      </c>
      <c r="K77" s="73" t="n">
        <f aca="false">0</f>
        <v>0</v>
      </c>
      <c r="L77" s="73" t="n">
        <f aca="false">0</f>
        <v>0</v>
      </c>
      <c r="M77" s="73" t="n">
        <f aca="false">M35/4</f>
        <v>54000</v>
      </c>
      <c r="N77" s="73" t="n">
        <f aca="false">0</f>
        <v>0</v>
      </c>
      <c r="O77" s="73" t="n">
        <f aca="false">0</f>
        <v>0</v>
      </c>
      <c r="P77" s="73" t="n">
        <f aca="false">P35/4</f>
        <v>54000</v>
      </c>
      <c r="Q77" s="73" t="n">
        <f aca="false">0</f>
        <v>0</v>
      </c>
      <c r="R77" s="73" t="n">
        <f aca="false">0</f>
        <v>0</v>
      </c>
      <c r="S77" s="73" t="n">
        <f aca="false">S35/4</f>
        <v>54000</v>
      </c>
      <c r="T77" s="73" t="n">
        <f aca="false">0</f>
        <v>0</v>
      </c>
      <c r="U77" s="73" t="n">
        <f aca="false">0</f>
        <v>0</v>
      </c>
      <c r="V77" s="73" t="n">
        <f aca="false">V35/4</f>
        <v>54000</v>
      </c>
      <c r="W77" s="73" t="n">
        <f aca="false">0</f>
        <v>0</v>
      </c>
      <c r="X77" s="73" t="n">
        <f aca="false">0</f>
        <v>0</v>
      </c>
      <c r="Y77" s="73" t="n">
        <f aca="false">Y35/4</f>
        <v>51750</v>
      </c>
      <c r="Z77" s="73" t="n">
        <f aca="false">0</f>
        <v>0</v>
      </c>
      <c r="AA77" s="73" t="n">
        <f aca="false">0</f>
        <v>0</v>
      </c>
      <c r="AB77" s="73" t="n">
        <f aca="false">AB35/4</f>
        <v>51750</v>
      </c>
    </row>
    <row r="78" customFormat="false" ht="15" hidden="false" customHeight="false" outlineLevel="0" collapsed="false">
      <c r="A78" s="28" t="s">
        <v>920</v>
      </c>
      <c r="B78" s="62"/>
      <c r="C78" s="64" t="n">
        <f aca="false">SUM(E78:P78)</f>
        <v>168000</v>
      </c>
      <c r="D78" s="64" t="n">
        <f aca="false">SUM(Q78:AB78)</f>
        <v>159750</v>
      </c>
      <c r="E78" s="73" t="n">
        <f aca="false">0</f>
        <v>0</v>
      </c>
      <c r="F78" s="73" t="n">
        <f aca="false">F36/4</f>
        <v>42500</v>
      </c>
      <c r="G78" s="73" t="n">
        <f aca="false">0</f>
        <v>0</v>
      </c>
      <c r="H78" s="73" t="n">
        <f aca="false">0</f>
        <v>0</v>
      </c>
      <c r="I78" s="73" t="n">
        <f aca="false">I36/4</f>
        <v>42500</v>
      </c>
      <c r="J78" s="73" t="n">
        <f aca="false">0</f>
        <v>0</v>
      </c>
      <c r="K78" s="73" t="n">
        <f aca="false">0</f>
        <v>0</v>
      </c>
      <c r="L78" s="73" t="n">
        <f aca="false">L36/4</f>
        <v>42500</v>
      </c>
      <c r="M78" s="73" t="n">
        <f aca="false">0</f>
        <v>0</v>
      </c>
      <c r="N78" s="73" t="n">
        <f aca="false">0</f>
        <v>0</v>
      </c>
      <c r="O78" s="73" t="n">
        <f aca="false">O36/4</f>
        <v>40500</v>
      </c>
      <c r="P78" s="73" t="n">
        <f aca="false">0</f>
        <v>0</v>
      </c>
      <c r="Q78" s="73" t="n">
        <f aca="false">0</f>
        <v>0</v>
      </c>
      <c r="R78" s="73" t="n">
        <f aca="false">R36/4</f>
        <v>40500</v>
      </c>
      <c r="S78" s="73" t="n">
        <f aca="false">0</f>
        <v>0</v>
      </c>
      <c r="T78" s="73" t="n">
        <f aca="false">0</f>
        <v>0</v>
      </c>
      <c r="U78" s="73" t="n">
        <f aca="false">U36/4</f>
        <v>40500</v>
      </c>
      <c r="V78" s="73" t="n">
        <f aca="false">0</f>
        <v>0</v>
      </c>
      <c r="W78" s="73" t="n">
        <f aca="false">0</f>
        <v>0</v>
      </c>
      <c r="X78" s="73" t="n">
        <f aca="false">X36/4</f>
        <v>40500</v>
      </c>
      <c r="Y78" s="73" t="n">
        <f aca="false">0</f>
        <v>0</v>
      </c>
      <c r="Z78" s="73" t="n">
        <f aca="false">0</f>
        <v>0</v>
      </c>
      <c r="AA78" s="73" t="n">
        <f aca="false">AA36/4</f>
        <v>38250</v>
      </c>
      <c r="AB78" s="73" t="n">
        <f aca="false">0</f>
        <v>0</v>
      </c>
    </row>
    <row r="79" customFormat="false" ht="15" hidden="false" customHeight="false" outlineLevel="0" collapsed="false">
      <c r="A79" s="28" t="s">
        <v>921</v>
      </c>
      <c r="B79" s="62"/>
      <c r="C79" s="64" t="n">
        <f aca="false">SUM(E79:P79)</f>
        <v>0</v>
      </c>
      <c r="D79" s="64" t="n">
        <f aca="false">SUM(Q79:AB79)</f>
        <v>0</v>
      </c>
      <c r="E79" s="73" t="n">
        <f aca="false">0</f>
        <v>0</v>
      </c>
      <c r="F79" s="73" t="n">
        <f aca="false">0</f>
        <v>0</v>
      </c>
      <c r="G79" s="73" t="n">
        <f aca="false">G37/4</f>
        <v>0</v>
      </c>
      <c r="H79" s="73" t="n">
        <f aca="false">0</f>
        <v>0</v>
      </c>
      <c r="I79" s="73" t="n">
        <f aca="false">0</f>
        <v>0</v>
      </c>
      <c r="J79" s="73" t="n">
        <f aca="false">J37/4</f>
        <v>0</v>
      </c>
      <c r="K79" s="73" t="n">
        <f aca="false">0</f>
        <v>0</v>
      </c>
      <c r="L79" s="73" t="n">
        <f aca="false">0</f>
        <v>0</v>
      </c>
      <c r="M79" s="73" t="n">
        <f aca="false">M37/4</f>
        <v>0</v>
      </c>
      <c r="N79" s="73" t="n">
        <f aca="false">0</f>
        <v>0</v>
      </c>
      <c r="O79" s="73" t="n">
        <f aca="false">0</f>
        <v>0</v>
      </c>
      <c r="P79" s="73" t="n">
        <f aca="false">P37/4</f>
        <v>0</v>
      </c>
      <c r="Q79" s="73" t="n">
        <f aca="false">0</f>
        <v>0</v>
      </c>
      <c r="R79" s="73" t="n">
        <f aca="false">0</f>
        <v>0</v>
      </c>
      <c r="S79" s="73" t="n">
        <f aca="false">S37/4</f>
        <v>0</v>
      </c>
      <c r="T79" s="73" t="n">
        <f aca="false">0</f>
        <v>0</v>
      </c>
      <c r="U79" s="73" t="n">
        <f aca="false">0</f>
        <v>0</v>
      </c>
      <c r="V79" s="73" t="n">
        <f aca="false">V37/4</f>
        <v>0</v>
      </c>
      <c r="W79" s="73" t="n">
        <f aca="false">0</f>
        <v>0</v>
      </c>
      <c r="X79" s="73" t="n">
        <f aca="false">0</f>
        <v>0</v>
      </c>
      <c r="Y79" s="73" t="n">
        <f aca="false">Y37/4</f>
        <v>0</v>
      </c>
      <c r="Z79" s="73" t="n">
        <f aca="false">0</f>
        <v>0</v>
      </c>
      <c r="AA79" s="73" t="n">
        <f aca="false">0</f>
        <v>0</v>
      </c>
      <c r="AB79" s="73" t="n">
        <f aca="false">AB37/4</f>
        <v>0</v>
      </c>
    </row>
    <row r="80" customFormat="false" ht="15" hidden="false" customHeight="false" outlineLevel="0" collapsed="false">
      <c r="A80" s="28" t="s">
        <v>922</v>
      </c>
      <c r="B80" s="62"/>
      <c r="C80" s="64" t="n">
        <f aca="false">SUM(E80:P80)</f>
        <v>190000</v>
      </c>
      <c r="D80" s="64" t="n">
        <f aca="false">SUM(Q80:AB80)</f>
        <v>193200</v>
      </c>
      <c r="E80" s="73" t="n">
        <f aca="false">0</f>
        <v>0</v>
      </c>
      <c r="F80" s="73" t="n">
        <f aca="false">F38/4</f>
        <v>47500</v>
      </c>
      <c r="G80" s="73" t="n">
        <f aca="false">0</f>
        <v>0</v>
      </c>
      <c r="H80" s="73" t="n">
        <f aca="false">0</f>
        <v>0</v>
      </c>
      <c r="I80" s="73" t="n">
        <f aca="false">I38/4</f>
        <v>47500</v>
      </c>
      <c r="J80" s="73" t="n">
        <f aca="false">0</f>
        <v>0</v>
      </c>
      <c r="K80" s="73" t="n">
        <f aca="false">0</f>
        <v>0</v>
      </c>
      <c r="L80" s="73" t="n">
        <f aca="false">L38/4</f>
        <v>47500</v>
      </c>
      <c r="M80" s="73" t="n">
        <f aca="false">0</f>
        <v>0</v>
      </c>
      <c r="N80" s="73" t="n">
        <f aca="false">0</f>
        <v>0</v>
      </c>
      <c r="O80" s="73" t="n">
        <f aca="false">O38/4</f>
        <v>47500</v>
      </c>
      <c r="P80" s="73" t="n">
        <f aca="false">0</f>
        <v>0</v>
      </c>
      <c r="Q80" s="73" t="n">
        <f aca="false">0</f>
        <v>0</v>
      </c>
      <c r="R80" s="73" t="n">
        <f aca="false">R38/4</f>
        <v>48300</v>
      </c>
      <c r="S80" s="73" t="n">
        <f aca="false">0</f>
        <v>0</v>
      </c>
      <c r="T80" s="73" t="n">
        <f aca="false">0</f>
        <v>0</v>
      </c>
      <c r="U80" s="73" t="n">
        <f aca="false">U38/4</f>
        <v>48300</v>
      </c>
      <c r="V80" s="73" t="n">
        <f aca="false">0</f>
        <v>0</v>
      </c>
      <c r="W80" s="73" t="n">
        <f aca="false">0</f>
        <v>0</v>
      </c>
      <c r="X80" s="73" t="n">
        <f aca="false">X38/4</f>
        <v>48300</v>
      </c>
      <c r="Y80" s="73" t="n">
        <f aca="false">0</f>
        <v>0</v>
      </c>
      <c r="Z80" s="73" t="n">
        <f aca="false">0</f>
        <v>0</v>
      </c>
      <c r="AA80" s="73" t="n">
        <f aca="false">AA38/4</f>
        <v>48300</v>
      </c>
      <c r="AB80" s="73" t="n">
        <f aca="false">0</f>
        <v>0</v>
      </c>
    </row>
    <row r="81" customFormat="false" ht="15" hidden="false" customHeight="false" outlineLevel="0" collapsed="false">
      <c r="A81" s="28" t="s">
        <v>923</v>
      </c>
      <c r="B81" s="62"/>
      <c r="C81" s="64" t="n">
        <f aca="false">SUM(E81:P81)</f>
        <v>167500</v>
      </c>
      <c r="D81" s="64" t="n">
        <f aca="false">SUM(Q81:AB81)</f>
        <v>184250</v>
      </c>
      <c r="E81" s="73" t="n">
        <f aca="false">E39/4</f>
        <v>40000</v>
      </c>
      <c r="F81" s="73" t="n">
        <f aca="false">0</f>
        <v>0</v>
      </c>
      <c r="G81" s="73" t="n">
        <f aca="false">0</f>
        <v>0</v>
      </c>
      <c r="H81" s="73" t="n">
        <f aca="false">H39/4</f>
        <v>42500</v>
      </c>
      <c r="I81" s="73" t="n">
        <f aca="false">0</f>
        <v>0</v>
      </c>
      <c r="J81" s="73" t="n">
        <f aca="false">0</f>
        <v>0</v>
      </c>
      <c r="K81" s="73" t="n">
        <f aca="false">K39/4</f>
        <v>42500</v>
      </c>
      <c r="L81" s="73" t="n">
        <f aca="false">0</f>
        <v>0</v>
      </c>
      <c r="M81" s="73" t="n">
        <f aca="false">0</f>
        <v>0</v>
      </c>
      <c r="N81" s="73" t="n">
        <f aca="false">N39/4</f>
        <v>42500</v>
      </c>
      <c r="O81" s="73" t="n">
        <f aca="false">0</f>
        <v>0</v>
      </c>
      <c r="P81" s="73" t="n">
        <f aca="false">0</f>
        <v>0</v>
      </c>
      <c r="Q81" s="73" t="n">
        <f aca="false">Q39/4</f>
        <v>42500</v>
      </c>
      <c r="R81" s="73" t="n">
        <f aca="false">0</f>
        <v>0</v>
      </c>
      <c r="S81" s="73" t="n">
        <f aca="false">0</f>
        <v>0</v>
      </c>
      <c r="T81" s="73" t="n">
        <f aca="false">T39/4</f>
        <v>47250</v>
      </c>
      <c r="U81" s="73" t="n">
        <f aca="false">0</f>
        <v>0</v>
      </c>
      <c r="V81" s="73" t="n">
        <f aca="false">0</f>
        <v>0</v>
      </c>
      <c r="W81" s="73" t="n">
        <f aca="false">W39/4</f>
        <v>47250</v>
      </c>
      <c r="X81" s="73" t="n">
        <f aca="false">0</f>
        <v>0</v>
      </c>
      <c r="Y81" s="73" t="n">
        <f aca="false">0</f>
        <v>0</v>
      </c>
      <c r="Z81" s="73" t="n">
        <f aca="false">Z39/4</f>
        <v>47250</v>
      </c>
      <c r="AA81" s="73" t="n">
        <f aca="false">0</f>
        <v>0</v>
      </c>
      <c r="AB81" s="73" t="n">
        <f aca="false">0</f>
        <v>0</v>
      </c>
    </row>
    <row r="82" customFormat="false" ht="15" hidden="false" customHeight="false" outlineLevel="0" collapsed="false">
      <c r="A82" s="28" t="s">
        <v>924</v>
      </c>
      <c r="B82" s="62"/>
      <c r="C82" s="64" t="n">
        <f aca="false">SUM(E82:P82)</f>
        <v>127500</v>
      </c>
      <c r="D82" s="64" t="n">
        <f aca="false">SUM(Q82:AB82)</f>
        <v>127000</v>
      </c>
      <c r="E82" s="73" t="n">
        <f aca="false">0</f>
        <v>0</v>
      </c>
      <c r="F82" s="73" t="n">
        <f aca="false">0</f>
        <v>0</v>
      </c>
      <c r="G82" s="73" t="n">
        <f aca="false">G40/4</f>
        <v>30000</v>
      </c>
      <c r="H82" s="73" t="n">
        <f aca="false">0</f>
        <v>0</v>
      </c>
      <c r="I82" s="73" t="n">
        <f aca="false">0</f>
        <v>0</v>
      </c>
      <c r="J82" s="73" t="n">
        <f aca="false">J40/4</f>
        <v>32500</v>
      </c>
      <c r="K82" s="73" t="n">
        <f aca="false">0</f>
        <v>0</v>
      </c>
      <c r="L82" s="73" t="n">
        <f aca="false">0</f>
        <v>0</v>
      </c>
      <c r="M82" s="73" t="n">
        <f aca="false">M40/4</f>
        <v>32500</v>
      </c>
      <c r="N82" s="73" t="n">
        <f aca="false">0</f>
        <v>0</v>
      </c>
      <c r="O82" s="73" t="n">
        <f aca="false">0</f>
        <v>0</v>
      </c>
      <c r="P82" s="73" t="n">
        <f aca="false">P40/4</f>
        <v>32500</v>
      </c>
      <c r="Q82" s="73" t="n">
        <f aca="false">0</f>
        <v>0</v>
      </c>
      <c r="R82" s="73" t="n">
        <f aca="false">0</f>
        <v>0</v>
      </c>
      <c r="S82" s="73" t="n">
        <f aca="false">S40/4</f>
        <v>32500</v>
      </c>
      <c r="T82" s="73" t="n">
        <f aca="false">0</f>
        <v>0</v>
      </c>
      <c r="U82" s="73" t="n">
        <f aca="false">0</f>
        <v>0</v>
      </c>
      <c r="V82" s="73" t="n">
        <f aca="false">V40/4</f>
        <v>31500</v>
      </c>
      <c r="W82" s="73" t="n">
        <f aca="false">0</f>
        <v>0</v>
      </c>
      <c r="X82" s="73" t="n">
        <f aca="false">0</f>
        <v>0</v>
      </c>
      <c r="Y82" s="73" t="n">
        <f aca="false">Y40/4</f>
        <v>31500</v>
      </c>
      <c r="Z82" s="73" t="n">
        <f aca="false">0</f>
        <v>0</v>
      </c>
      <c r="AA82" s="73" t="n">
        <f aca="false">0</f>
        <v>0</v>
      </c>
      <c r="AB82" s="73" t="n">
        <f aca="false">AB40/4</f>
        <v>31500</v>
      </c>
    </row>
    <row r="83" customFormat="false" ht="15" hidden="false" customHeight="false" outlineLevel="0" collapsed="false">
      <c r="A83" s="28" t="s">
        <v>925</v>
      </c>
      <c r="B83" s="62"/>
      <c r="C83" s="64" t="n">
        <f aca="false">SUM(E83:P83)</f>
        <v>145000</v>
      </c>
      <c r="D83" s="64" t="n">
        <f aca="false">SUM(Q83:AB83)</f>
        <v>147000</v>
      </c>
      <c r="E83" s="73" t="n">
        <f aca="false">0</f>
        <v>0</v>
      </c>
      <c r="F83" s="73" t="n">
        <f aca="false">F41/4</f>
        <v>35000</v>
      </c>
      <c r="G83" s="73" t="n">
        <f aca="false">0</f>
        <v>0</v>
      </c>
      <c r="H83" s="73" t="n">
        <f aca="false">0</f>
        <v>0</v>
      </c>
      <c r="I83" s="73" t="n">
        <f aca="false">I41/4</f>
        <v>35000</v>
      </c>
      <c r="J83" s="73" t="n">
        <f aca="false">0</f>
        <v>0</v>
      </c>
      <c r="K83" s="73" t="n">
        <f aca="false">0</f>
        <v>0</v>
      </c>
      <c r="L83" s="73" t="n">
        <f aca="false">L41/4</f>
        <v>37500</v>
      </c>
      <c r="M83" s="73" t="n">
        <f aca="false">0</f>
        <v>0</v>
      </c>
      <c r="N83" s="73" t="n">
        <f aca="false">0</f>
        <v>0</v>
      </c>
      <c r="O83" s="73" t="n">
        <f aca="false">O41/4</f>
        <v>37500</v>
      </c>
      <c r="P83" s="73" t="n">
        <f aca="false">0</f>
        <v>0</v>
      </c>
      <c r="Q83" s="73" t="n">
        <f aca="false">0</f>
        <v>0</v>
      </c>
      <c r="R83" s="73" t="n">
        <f aca="false">R41/4</f>
        <v>37500</v>
      </c>
      <c r="S83" s="73" t="n">
        <f aca="false">0</f>
        <v>0</v>
      </c>
      <c r="T83" s="73" t="n">
        <f aca="false">0</f>
        <v>0</v>
      </c>
      <c r="U83" s="73" t="n">
        <f aca="false">U41/4</f>
        <v>37500</v>
      </c>
      <c r="V83" s="73" t="n">
        <f aca="false">0</f>
        <v>0</v>
      </c>
      <c r="W83" s="73" t="n">
        <f aca="false">0</f>
        <v>0</v>
      </c>
      <c r="X83" s="73" t="n">
        <f aca="false">X41/4</f>
        <v>36000</v>
      </c>
      <c r="Y83" s="73" t="n">
        <f aca="false">0</f>
        <v>0</v>
      </c>
      <c r="Z83" s="73" t="n">
        <f aca="false">0</f>
        <v>0</v>
      </c>
      <c r="AA83" s="73" t="n">
        <f aca="false">AA41/4</f>
        <v>36000</v>
      </c>
      <c r="AB83" s="73" t="n">
        <f aca="false">0</f>
        <v>0</v>
      </c>
    </row>
    <row r="84" customFormat="false" ht="15" hidden="false" customHeight="false" outlineLevel="0" collapsed="false">
      <c r="A84" s="28" t="s">
        <v>926</v>
      </c>
      <c r="B84" s="62"/>
      <c r="C84" s="64" t="n">
        <f aca="false">SUM(E84:P84)</f>
        <v>149300</v>
      </c>
      <c r="D84" s="64" t="n">
        <f aca="false">SUM(Q84:AB84)</f>
        <v>147200</v>
      </c>
      <c r="E84" s="73" t="n">
        <f aca="false">E42/4</f>
        <v>37500</v>
      </c>
      <c r="F84" s="73" t="n">
        <f aca="false">0</f>
        <v>0</v>
      </c>
      <c r="G84" s="73" t="n">
        <f aca="false">0</f>
        <v>0</v>
      </c>
      <c r="H84" s="73" t="n">
        <f aca="false">H42/4</f>
        <v>37500</v>
      </c>
      <c r="I84" s="73" t="n">
        <f aca="false">0</f>
        <v>0</v>
      </c>
      <c r="J84" s="73" t="n">
        <f aca="false">0</f>
        <v>0</v>
      </c>
      <c r="K84" s="73" t="n">
        <f aca="false">K42/4</f>
        <v>37500</v>
      </c>
      <c r="L84" s="73" t="n">
        <f aca="false">0</f>
        <v>0</v>
      </c>
      <c r="M84" s="73" t="n">
        <f aca="false">0</f>
        <v>0</v>
      </c>
      <c r="N84" s="73" t="n">
        <f aca="false">N42/4</f>
        <v>36800</v>
      </c>
      <c r="O84" s="73" t="n">
        <f aca="false">0</f>
        <v>0</v>
      </c>
      <c r="P84" s="73" t="n">
        <f aca="false">0</f>
        <v>0</v>
      </c>
      <c r="Q84" s="73" t="n">
        <f aca="false">Q42/4</f>
        <v>36800</v>
      </c>
      <c r="R84" s="73" t="n">
        <f aca="false">0</f>
        <v>0</v>
      </c>
      <c r="S84" s="73" t="n">
        <f aca="false">0</f>
        <v>0</v>
      </c>
      <c r="T84" s="73" t="n">
        <f aca="false">T42/4</f>
        <v>36800</v>
      </c>
      <c r="U84" s="73" t="n">
        <f aca="false">0</f>
        <v>0</v>
      </c>
      <c r="V84" s="73" t="n">
        <f aca="false">0</f>
        <v>0</v>
      </c>
      <c r="W84" s="73" t="n">
        <f aca="false">W42/4</f>
        <v>36800</v>
      </c>
      <c r="X84" s="73" t="n">
        <f aca="false">0</f>
        <v>0</v>
      </c>
      <c r="Y84" s="73" t="n">
        <f aca="false">0</f>
        <v>0</v>
      </c>
      <c r="Z84" s="73" t="n">
        <f aca="false">Z42/4</f>
        <v>36800</v>
      </c>
      <c r="AA84" s="73" t="n">
        <f aca="false">0</f>
        <v>0</v>
      </c>
      <c r="AB84" s="73" t="n">
        <f aca="false">0</f>
        <v>0</v>
      </c>
    </row>
    <row r="85" customFormat="false" ht="15" hidden="false" customHeight="false" outlineLevel="0" collapsed="false">
      <c r="A85" s="28" t="s">
        <v>927</v>
      </c>
      <c r="B85" s="62"/>
      <c r="C85" s="64" t="n">
        <f aca="false">SUM(E85:P85)</f>
        <v>180000</v>
      </c>
      <c r="D85" s="64" t="n">
        <f aca="false">SUM(Q85:AB85)</f>
        <v>239400</v>
      </c>
      <c r="E85" s="73" t="n">
        <f aca="false">0</f>
        <v>0</v>
      </c>
      <c r="F85" s="73" t="n">
        <f aca="false">0</f>
        <v>0</v>
      </c>
      <c r="G85" s="73" t="n">
        <f aca="false">0</f>
        <v>0</v>
      </c>
      <c r="H85" s="73" t="n">
        <f aca="false">H43/4</f>
        <v>60000</v>
      </c>
      <c r="I85" s="73" t="n">
        <f aca="false">0</f>
        <v>0</v>
      </c>
      <c r="J85" s="73" t="n">
        <f aca="false">0</f>
        <v>0</v>
      </c>
      <c r="K85" s="73" t="n">
        <f aca="false">K43/4</f>
        <v>60000</v>
      </c>
      <c r="L85" s="73" t="n">
        <f aca="false">0</f>
        <v>0</v>
      </c>
      <c r="M85" s="73" t="n">
        <f aca="false">0</f>
        <v>0</v>
      </c>
      <c r="N85" s="73" t="n">
        <f aca="false">N43/4</f>
        <v>60000</v>
      </c>
      <c r="O85" s="73" t="n">
        <f aca="false">0</f>
        <v>0</v>
      </c>
      <c r="P85" s="73" t="n">
        <f aca="false">0</f>
        <v>0</v>
      </c>
      <c r="Q85" s="73" t="n">
        <f aca="false">Q43/4</f>
        <v>60000</v>
      </c>
      <c r="R85" s="73" t="n">
        <f aca="false">0</f>
        <v>0</v>
      </c>
      <c r="S85" s="73" t="n">
        <f aca="false">0</f>
        <v>0</v>
      </c>
      <c r="T85" s="73" t="n">
        <f aca="false">T43/4</f>
        <v>59800</v>
      </c>
      <c r="U85" s="73" t="n">
        <f aca="false">0</f>
        <v>0</v>
      </c>
      <c r="V85" s="73" t="n">
        <f aca="false">0</f>
        <v>0</v>
      </c>
      <c r="W85" s="73" t="n">
        <f aca="false">W43/4</f>
        <v>59800</v>
      </c>
      <c r="X85" s="73" t="n">
        <f aca="false">0</f>
        <v>0</v>
      </c>
      <c r="Y85" s="73" t="n">
        <f aca="false">0</f>
        <v>0</v>
      </c>
      <c r="Z85" s="73" t="n">
        <f aca="false">Z43/4</f>
        <v>59800</v>
      </c>
      <c r="AA85" s="73" t="n">
        <f aca="false">0</f>
        <v>0</v>
      </c>
      <c r="AB85" s="73" t="n">
        <f aca="false">0</f>
        <v>0</v>
      </c>
    </row>
    <row r="86" customFormat="false" ht="15" hidden="false" customHeight="false" outlineLevel="0" collapsed="false">
      <c r="A86" s="28" t="s">
        <v>928</v>
      </c>
      <c r="B86" s="62"/>
      <c r="C86" s="64" t="n">
        <f aca="false">SUM(E86:P86)</f>
        <v>150000</v>
      </c>
      <c r="D86" s="64" t="n">
        <f aca="false">SUM(Q86:AB86)</f>
        <v>297200</v>
      </c>
      <c r="E86" s="73" t="n">
        <f aca="false">0</f>
        <v>0</v>
      </c>
      <c r="F86" s="73" t="n">
        <f aca="false">0</f>
        <v>0</v>
      </c>
      <c r="G86" s="73" t="n">
        <f aca="false">0</f>
        <v>0</v>
      </c>
      <c r="H86" s="73" t="n">
        <f aca="false">0</f>
        <v>0</v>
      </c>
      <c r="I86" s="73" t="n">
        <f aca="false">0</f>
        <v>0</v>
      </c>
      <c r="J86" s="73" t="n">
        <f aca="false">0</f>
        <v>0</v>
      </c>
      <c r="K86" s="73" t="n">
        <f aca="false">K44/4</f>
        <v>75000</v>
      </c>
      <c r="L86" s="73" t="n">
        <f aca="false">0</f>
        <v>0</v>
      </c>
      <c r="M86" s="73" t="n">
        <f aca="false">0</f>
        <v>0</v>
      </c>
      <c r="N86" s="73" t="n">
        <f aca="false">N44/4</f>
        <v>75000</v>
      </c>
      <c r="O86" s="73" t="n">
        <f aca="false">0</f>
        <v>0</v>
      </c>
      <c r="P86" s="73" t="n">
        <f aca="false">0</f>
        <v>0</v>
      </c>
      <c r="Q86" s="73" t="n">
        <f aca="false">Q44/4</f>
        <v>75000</v>
      </c>
      <c r="R86" s="73" t="n">
        <f aca="false">0</f>
        <v>0</v>
      </c>
      <c r="S86" s="73" t="n">
        <f aca="false">0</f>
        <v>0</v>
      </c>
      <c r="T86" s="73" t="n">
        <f aca="false">T44/4</f>
        <v>75000</v>
      </c>
      <c r="U86" s="73" t="n">
        <f aca="false">0</f>
        <v>0</v>
      </c>
      <c r="V86" s="73" t="n">
        <f aca="false">0</f>
        <v>0</v>
      </c>
      <c r="W86" s="73" t="n">
        <f aca="false">W44/4</f>
        <v>73600</v>
      </c>
      <c r="X86" s="73" t="n">
        <f aca="false">0</f>
        <v>0</v>
      </c>
      <c r="Y86" s="73" t="n">
        <f aca="false">0</f>
        <v>0</v>
      </c>
      <c r="Z86" s="73" t="n">
        <f aca="false">Z44/4</f>
        <v>73600</v>
      </c>
      <c r="AA86" s="73" t="n">
        <f aca="false">0</f>
        <v>0</v>
      </c>
      <c r="AB86" s="73" t="n">
        <f aca="false">0</f>
        <v>0</v>
      </c>
    </row>
    <row r="87" customFormat="false" ht="15" hidden="false" customHeight="false" outlineLevel="0" collapsed="false">
      <c r="A87" s="28" t="s">
        <v>929</v>
      </c>
      <c r="B87" s="62"/>
      <c r="C87" s="64" t="n">
        <f aca="false">SUM(E87:P87)</f>
        <v>49500</v>
      </c>
      <c r="D87" s="64" t="n">
        <f aca="false">SUM(Q87:AB87)</f>
        <v>196800</v>
      </c>
      <c r="E87" s="65" t="n">
        <f aca="false">IF(AND(Assumptions!E$204&gt;=Account_Register!$W$22,MOD(Assumptions!E$204-Account_Register!$W$22,3)=0),E45/4,0)</f>
        <v>0</v>
      </c>
      <c r="F87" s="65" t="n">
        <f aca="false">IF(AND(Assumptions!F$204&gt;=Account_Register!$W$22,MOD(Assumptions!F$204-Account_Register!$W$22,3)=0),F45/4,0)</f>
        <v>0</v>
      </c>
      <c r="G87" s="65" t="n">
        <f aca="false">IF(AND(Assumptions!G$204&gt;=Account_Register!$W$22,MOD(Assumptions!G$204-Account_Register!$W$22,3)=0),G45/4,0)</f>
        <v>0</v>
      </c>
      <c r="H87" s="65" t="n">
        <f aca="false">IF(AND(Assumptions!H$204&gt;=Account_Register!$W$22,MOD(Assumptions!H$204-Account_Register!$W$22,3)=0),H45/4,0)</f>
        <v>0</v>
      </c>
      <c r="I87" s="65" t="n">
        <f aca="false">IF(AND(Assumptions!I$204&gt;=Account_Register!$W$22,MOD(Assumptions!I$204-Account_Register!$W$22,3)=0),I45/4,0)</f>
        <v>0</v>
      </c>
      <c r="J87" s="65" t="n">
        <f aca="false">IF(AND(Assumptions!J$204&gt;=Account_Register!$W$22,MOD(Assumptions!J$204-Account_Register!$W$22,3)=0),J45/4,0)</f>
        <v>0</v>
      </c>
      <c r="K87" s="65" t="n">
        <f aca="false">IF(AND(Assumptions!K$204&gt;=Account_Register!$W$22,MOD(Assumptions!K$204-Account_Register!$W$22,3)=0),K45/4,0)</f>
        <v>0</v>
      </c>
      <c r="L87" s="65" t="n">
        <f aca="false">IF(AND(Assumptions!L$204&gt;=Account_Register!$W$22,MOD(Assumptions!L$204-Account_Register!$W$22,3)=0),L45/4,0)</f>
        <v>0</v>
      </c>
      <c r="M87" s="65" t="n">
        <f aca="false">IF(AND(Assumptions!M$204&gt;=Account_Register!$W$22,MOD(Assumptions!M$204-Account_Register!$W$22,3)=0),M45/4,0)</f>
        <v>0</v>
      </c>
      <c r="N87" s="65" t="n">
        <f aca="false">IF(AND(Assumptions!N$204&gt;=Account_Register!$W$22,MOD(Assumptions!N$204-Account_Register!$W$22,3)=0),N45/4,0)</f>
        <v>0</v>
      </c>
      <c r="O87" s="65" t="n">
        <f aca="false">IF(AND(Assumptions!O$204&gt;=Account_Register!$W$22,MOD(Assumptions!O$204-Account_Register!$W$22,3)=0),O45/4,0)</f>
        <v>49500</v>
      </c>
      <c r="P87" s="65" t="n">
        <f aca="false">IF(AND(Assumptions!P$204&gt;=Account_Register!$W$22,MOD(Assumptions!P$204-Account_Register!$W$22,3)=0),P45/4,0)</f>
        <v>0</v>
      </c>
      <c r="Q87" s="65" t="n">
        <f aca="false">IF(AND(Assumptions!Q$204&gt;=Account_Register!$W$22,MOD(Assumptions!Q$204-Account_Register!$W$22,3)=0),Q45/4,0)</f>
        <v>0</v>
      </c>
      <c r="R87" s="65" t="n">
        <f aca="false">IF(AND(Assumptions!R$204&gt;=Account_Register!$W$22,MOD(Assumptions!R$204-Account_Register!$W$22,3)=0),R45/4,0)</f>
        <v>49500</v>
      </c>
      <c r="S87" s="65" t="n">
        <f aca="false">IF(AND(Assumptions!S$204&gt;=Account_Register!$W$22,MOD(Assumptions!S$204-Account_Register!$W$22,3)=0),S45/4,0)</f>
        <v>0</v>
      </c>
      <c r="T87" s="65" t="n">
        <f aca="false">IF(AND(Assumptions!T$204&gt;=Account_Register!$W$22,MOD(Assumptions!T$204-Account_Register!$W$22,3)=0),T45/4,0)</f>
        <v>0</v>
      </c>
      <c r="U87" s="65" t="n">
        <f aca="false">IF(AND(Assumptions!U$204&gt;=Account_Register!$W$22,MOD(Assumptions!U$204-Account_Register!$W$22,3)=0),U45/4,0)</f>
        <v>49500</v>
      </c>
      <c r="V87" s="65" t="n">
        <f aca="false">IF(AND(Assumptions!V$204&gt;=Account_Register!$W$22,MOD(Assumptions!V$204-Account_Register!$W$22,3)=0),V45/4,0)</f>
        <v>0</v>
      </c>
      <c r="W87" s="65" t="n">
        <f aca="false">IF(AND(Assumptions!W$204&gt;=Account_Register!$W$22,MOD(Assumptions!W$204-Account_Register!$W$22,3)=0),W45/4,0)</f>
        <v>0</v>
      </c>
      <c r="X87" s="65" t="n">
        <f aca="false">IF(AND(Assumptions!X$204&gt;=Account_Register!$W$22,MOD(Assumptions!X$204-Account_Register!$W$22,3)=0),X45/4,0)</f>
        <v>49500</v>
      </c>
      <c r="Y87" s="65" t="n">
        <f aca="false">IF(AND(Assumptions!Y$204&gt;=Account_Register!$W$22,MOD(Assumptions!Y$204-Account_Register!$W$22,3)=0),Y45/4,0)</f>
        <v>0</v>
      </c>
      <c r="Z87" s="65" t="n">
        <f aca="false">IF(AND(Assumptions!Z$204&gt;=Account_Register!$W$22,MOD(Assumptions!Z$204-Account_Register!$W$22,3)=0),Z45/4,0)</f>
        <v>0</v>
      </c>
      <c r="AA87" s="65" t="n">
        <f aca="false">IF(AND(Assumptions!AA$204&gt;=Account_Register!$W$22,MOD(Assumptions!AA$204-Account_Register!$W$22,3)=0),AA45/4,0)</f>
        <v>48300</v>
      </c>
      <c r="AB87" s="65" t="n">
        <f aca="false">IF(AND(Assumptions!AB$204&gt;=Account_Register!$W$22,MOD(Assumptions!AB$204-Account_Register!$W$22,3)=0),AB45/4,0)</f>
        <v>0</v>
      </c>
    </row>
    <row r="88" customFormat="false" ht="15" hidden="false" customHeight="false" outlineLevel="0" collapsed="false">
      <c r="A88" s="28" t="s">
        <v>930</v>
      </c>
      <c r="B88" s="62"/>
      <c r="C88" s="64" t="n">
        <f aca="false">SUM(E88:P88)</f>
        <v>30000</v>
      </c>
      <c r="D88" s="64" t="n">
        <f aca="false">SUM(Q88:AB88)</f>
        <v>119900</v>
      </c>
      <c r="E88" s="65" t="n">
        <f aca="false">IF(AND(Assumptions!E$204&gt;=Account_Register!$W$23,MOD(Assumptions!E$204-Account_Register!$W$23,3)=0),E46/4,0)</f>
        <v>0</v>
      </c>
      <c r="F88" s="65" t="n">
        <f aca="false">IF(AND(Assumptions!F$204&gt;=Account_Register!$W$23,MOD(Assumptions!F$204-Account_Register!$W$23,3)=0),F46/4,0)</f>
        <v>0</v>
      </c>
      <c r="G88" s="65" t="n">
        <f aca="false">IF(AND(Assumptions!G$204&gt;=Account_Register!$W$23,MOD(Assumptions!G$204-Account_Register!$W$23,3)=0),G46/4,0)</f>
        <v>0</v>
      </c>
      <c r="H88" s="65" t="n">
        <f aca="false">IF(AND(Assumptions!H$204&gt;=Account_Register!$W$23,MOD(Assumptions!H$204-Account_Register!$W$23,3)=0),H46/4,0)</f>
        <v>0</v>
      </c>
      <c r="I88" s="65" t="n">
        <f aca="false">IF(AND(Assumptions!I$204&gt;=Account_Register!$W$23,MOD(Assumptions!I$204-Account_Register!$W$23,3)=0),I46/4,0)</f>
        <v>0</v>
      </c>
      <c r="J88" s="65" t="n">
        <f aca="false">IF(AND(Assumptions!J$204&gt;=Account_Register!$W$23,MOD(Assumptions!J$204-Account_Register!$W$23,3)=0),J46/4,0)</f>
        <v>0</v>
      </c>
      <c r="K88" s="65" t="n">
        <f aca="false">IF(AND(Assumptions!K$204&gt;=Account_Register!$W$23,MOD(Assumptions!K$204-Account_Register!$W$23,3)=0),K46/4,0)</f>
        <v>0</v>
      </c>
      <c r="L88" s="65" t="n">
        <f aca="false">IF(AND(Assumptions!L$204&gt;=Account_Register!$W$23,MOD(Assumptions!L$204-Account_Register!$W$23,3)=0),L46/4,0)</f>
        <v>0</v>
      </c>
      <c r="M88" s="65" t="n">
        <f aca="false">IF(AND(Assumptions!M$204&gt;=Account_Register!$W$23,MOD(Assumptions!M$204-Account_Register!$W$23,3)=0),M46/4,0)</f>
        <v>0</v>
      </c>
      <c r="N88" s="65" t="n">
        <f aca="false">IF(AND(Assumptions!N$204&gt;=Account_Register!$W$23,MOD(Assumptions!N$204-Account_Register!$W$23,3)=0),N46/4,0)</f>
        <v>0</v>
      </c>
      <c r="O88" s="65" t="n">
        <f aca="false">IF(AND(Assumptions!O$204&gt;=Account_Register!$W$23,MOD(Assumptions!O$204-Account_Register!$W$23,3)=0),O46/4,0)</f>
        <v>0</v>
      </c>
      <c r="P88" s="65" t="n">
        <f aca="false">IF(AND(Assumptions!P$204&gt;=Account_Register!$W$23,MOD(Assumptions!P$204-Account_Register!$W$23,3)=0),P46/4,0)</f>
        <v>30000</v>
      </c>
      <c r="Q88" s="65" t="n">
        <f aca="false">IF(AND(Assumptions!Q$204&gt;=Account_Register!$W$23,MOD(Assumptions!Q$204-Account_Register!$W$23,3)=0),Q46/4,0)</f>
        <v>0</v>
      </c>
      <c r="R88" s="65" t="n">
        <f aca="false">IF(AND(Assumptions!R$204&gt;=Account_Register!$W$23,MOD(Assumptions!R$204-Account_Register!$W$23,3)=0),R46/4,0)</f>
        <v>0</v>
      </c>
      <c r="S88" s="65" t="n">
        <f aca="false">IF(AND(Assumptions!S$204&gt;=Account_Register!$W$23,MOD(Assumptions!S$204-Account_Register!$W$23,3)=0),S46/4,0)</f>
        <v>30000</v>
      </c>
      <c r="T88" s="65" t="n">
        <f aca="false">IF(AND(Assumptions!T$204&gt;=Account_Register!$W$23,MOD(Assumptions!T$204-Account_Register!$W$23,3)=0),T46/4,0)</f>
        <v>0</v>
      </c>
      <c r="U88" s="65" t="n">
        <f aca="false">IF(AND(Assumptions!U$204&gt;=Account_Register!$W$23,MOD(Assumptions!U$204-Account_Register!$W$23,3)=0),U46/4,0)</f>
        <v>0</v>
      </c>
      <c r="V88" s="65" t="n">
        <f aca="false">IF(AND(Assumptions!V$204&gt;=Account_Register!$W$23,MOD(Assumptions!V$204-Account_Register!$W$23,3)=0),V46/4,0)</f>
        <v>30000</v>
      </c>
      <c r="W88" s="65" t="n">
        <f aca="false">IF(AND(Assumptions!W$204&gt;=Account_Register!$W$23,MOD(Assumptions!W$204-Account_Register!$W$23,3)=0),W46/4,0)</f>
        <v>0</v>
      </c>
      <c r="X88" s="65" t="n">
        <f aca="false">IF(AND(Assumptions!X$204&gt;=Account_Register!$W$23,MOD(Assumptions!X$204-Account_Register!$W$23,3)=0),X46/4,0)</f>
        <v>0</v>
      </c>
      <c r="Y88" s="65" t="n">
        <f aca="false">IF(AND(Assumptions!Y$204&gt;=Account_Register!$W$23,MOD(Assumptions!Y$204-Account_Register!$W$23,3)=0),Y46/4,0)</f>
        <v>30000</v>
      </c>
      <c r="Z88" s="65" t="n">
        <f aca="false">IF(AND(Assumptions!Z$204&gt;=Account_Register!$W$23,MOD(Assumptions!Z$204-Account_Register!$W$23,3)=0),Z46/4,0)</f>
        <v>0</v>
      </c>
      <c r="AA88" s="65" t="n">
        <f aca="false">IF(AND(Assumptions!AA$204&gt;=Account_Register!$W$23,MOD(Assumptions!AA$204-Account_Register!$W$23,3)=0),AA46/4,0)</f>
        <v>0</v>
      </c>
      <c r="AB88" s="65" t="n">
        <f aca="false">IF(AND(Assumptions!AB$204&gt;=Account_Register!$W$23,MOD(Assumptions!AB$204-Account_Register!$W$23,3)=0),AB46/4,0)</f>
        <v>29900</v>
      </c>
    </row>
    <row r="89" customFormat="false" ht="15" hidden="false" customHeight="false" outlineLevel="0" collapsed="false">
      <c r="A89" s="28" t="s">
        <v>931</v>
      </c>
      <c r="B89" s="62"/>
      <c r="C89" s="64" t="n">
        <f aca="false">SUM(E89:P89)</f>
        <v>0</v>
      </c>
      <c r="D89" s="64" t="n">
        <f aca="false">SUM(Q89:AB89)</f>
        <v>168000</v>
      </c>
      <c r="E89" s="65" t="n">
        <f aca="false">IF(AND(Assumptions!E$204&gt;=Account_Register!$W$24,MOD(Assumptions!E$204-Account_Register!$W$24,3)=0),E47/4,0)</f>
        <v>0</v>
      </c>
      <c r="F89" s="65" t="n">
        <f aca="false">IF(AND(Assumptions!F$204&gt;=Account_Register!$W$24,MOD(Assumptions!F$204-Account_Register!$W$24,3)=0),F47/4,0)</f>
        <v>0</v>
      </c>
      <c r="G89" s="65" t="n">
        <f aca="false">IF(AND(Assumptions!G$204&gt;=Account_Register!$W$24,MOD(Assumptions!G$204-Account_Register!$W$24,3)=0),G47/4,0)</f>
        <v>0</v>
      </c>
      <c r="H89" s="65" t="n">
        <f aca="false">IF(AND(Assumptions!H$204&gt;=Account_Register!$W$24,MOD(Assumptions!H$204-Account_Register!$W$24,3)=0),H47/4,0)</f>
        <v>0</v>
      </c>
      <c r="I89" s="65" t="n">
        <f aca="false">IF(AND(Assumptions!I$204&gt;=Account_Register!$W$24,MOD(Assumptions!I$204-Account_Register!$W$24,3)=0),I47/4,0)</f>
        <v>0</v>
      </c>
      <c r="J89" s="65" t="n">
        <f aca="false">IF(AND(Assumptions!J$204&gt;=Account_Register!$W$24,MOD(Assumptions!J$204-Account_Register!$W$24,3)=0),J47/4,0)</f>
        <v>0</v>
      </c>
      <c r="K89" s="65" t="n">
        <f aca="false">IF(AND(Assumptions!K$204&gt;=Account_Register!$W$24,MOD(Assumptions!K$204-Account_Register!$W$24,3)=0),K47/4,0)</f>
        <v>0</v>
      </c>
      <c r="L89" s="65" t="n">
        <f aca="false">IF(AND(Assumptions!L$204&gt;=Account_Register!$W$24,MOD(Assumptions!L$204-Account_Register!$W$24,3)=0),L47/4,0)</f>
        <v>0</v>
      </c>
      <c r="M89" s="65" t="n">
        <f aca="false">IF(AND(Assumptions!M$204&gt;=Account_Register!$W$24,MOD(Assumptions!M$204-Account_Register!$W$24,3)=0),M47/4,0)</f>
        <v>0</v>
      </c>
      <c r="N89" s="65" t="n">
        <f aca="false">IF(AND(Assumptions!N$204&gt;=Account_Register!$W$24,MOD(Assumptions!N$204-Account_Register!$W$24,3)=0),N47/4,0)</f>
        <v>0</v>
      </c>
      <c r="O89" s="65" t="n">
        <f aca="false">IF(AND(Assumptions!O$204&gt;=Account_Register!$W$24,MOD(Assumptions!O$204-Account_Register!$W$24,3)=0),O47/4,0)</f>
        <v>0</v>
      </c>
      <c r="P89" s="65" t="n">
        <f aca="false">IF(AND(Assumptions!P$204&gt;=Account_Register!$W$24,MOD(Assumptions!P$204-Account_Register!$W$24,3)=0),P47/4,0)</f>
        <v>0</v>
      </c>
      <c r="Q89" s="65" t="n">
        <f aca="false">IF(AND(Assumptions!Q$204&gt;=Account_Register!$W$24,MOD(Assumptions!Q$204-Account_Register!$W$24,3)=0),Q47/4,0)</f>
        <v>0</v>
      </c>
      <c r="R89" s="65" t="n">
        <f aca="false">IF(AND(Assumptions!R$204&gt;=Account_Register!$W$24,MOD(Assumptions!R$204-Account_Register!$W$24,3)=0),R47/4,0)</f>
        <v>42000</v>
      </c>
      <c r="S89" s="65" t="n">
        <f aca="false">IF(AND(Assumptions!S$204&gt;=Account_Register!$W$24,MOD(Assumptions!S$204-Account_Register!$W$24,3)=0),S47/4,0)</f>
        <v>0</v>
      </c>
      <c r="T89" s="65" t="n">
        <f aca="false">IF(AND(Assumptions!T$204&gt;=Account_Register!$W$24,MOD(Assumptions!T$204-Account_Register!$W$24,3)=0),T47/4,0)</f>
        <v>0</v>
      </c>
      <c r="U89" s="65" t="n">
        <f aca="false">IF(AND(Assumptions!U$204&gt;=Account_Register!$W$24,MOD(Assumptions!U$204-Account_Register!$W$24,3)=0),U47/4,0)</f>
        <v>42000</v>
      </c>
      <c r="V89" s="65" t="n">
        <f aca="false">IF(AND(Assumptions!V$204&gt;=Account_Register!$W$24,MOD(Assumptions!V$204-Account_Register!$W$24,3)=0),V47/4,0)</f>
        <v>0</v>
      </c>
      <c r="W89" s="65" t="n">
        <f aca="false">IF(AND(Assumptions!W$204&gt;=Account_Register!$W$24,MOD(Assumptions!W$204-Account_Register!$W$24,3)=0),W47/4,0)</f>
        <v>0</v>
      </c>
      <c r="X89" s="65" t="n">
        <f aca="false">IF(AND(Assumptions!X$204&gt;=Account_Register!$W$24,MOD(Assumptions!X$204-Account_Register!$W$24,3)=0),X47/4,0)</f>
        <v>42000</v>
      </c>
      <c r="Y89" s="65" t="n">
        <f aca="false">IF(AND(Assumptions!Y$204&gt;=Account_Register!$W$24,MOD(Assumptions!Y$204-Account_Register!$W$24,3)=0),Y47/4,0)</f>
        <v>0</v>
      </c>
      <c r="Z89" s="65" t="n">
        <f aca="false">IF(AND(Assumptions!Z$204&gt;=Account_Register!$W$24,MOD(Assumptions!Z$204-Account_Register!$W$24,3)=0),Z47/4,0)</f>
        <v>0</v>
      </c>
      <c r="AA89" s="65" t="n">
        <f aca="false">IF(AND(Assumptions!AA$204&gt;=Account_Register!$W$24,MOD(Assumptions!AA$204-Account_Register!$W$24,3)=0),AA47/4,0)</f>
        <v>42000</v>
      </c>
      <c r="AB89" s="65" t="n">
        <f aca="false">IF(AND(Assumptions!AB$204&gt;=Account_Register!$W$24,MOD(Assumptions!AB$204-Account_Register!$W$24,3)=0),AB47/4,0)</f>
        <v>0</v>
      </c>
    </row>
    <row r="90" customFormat="false" ht="15" hidden="false" customHeight="false" outlineLevel="0" collapsed="false">
      <c r="A90" s="28" t="s">
        <v>932</v>
      </c>
      <c r="B90" s="62"/>
      <c r="C90" s="64" t="n">
        <f aca="false">SUM(E90:P90)</f>
        <v>0</v>
      </c>
      <c r="D90" s="64" t="n">
        <f aca="false">SUM(Q90:AB90)</f>
        <v>90000</v>
      </c>
      <c r="E90" s="65" t="n">
        <f aca="false">IF(AND(Assumptions!E$204&gt;=Account_Register!$W$25,MOD(Assumptions!E$204-Account_Register!$W$25,3)=0),E48/4,0)</f>
        <v>0</v>
      </c>
      <c r="F90" s="65" t="n">
        <f aca="false">IF(AND(Assumptions!F$204&gt;=Account_Register!$W$25,MOD(Assumptions!F$204-Account_Register!$W$25,3)=0),F48/4,0)</f>
        <v>0</v>
      </c>
      <c r="G90" s="65" t="n">
        <f aca="false">IF(AND(Assumptions!G$204&gt;=Account_Register!$W$25,MOD(Assumptions!G$204-Account_Register!$W$25,3)=0),G48/4,0)</f>
        <v>0</v>
      </c>
      <c r="H90" s="65" t="n">
        <f aca="false">IF(AND(Assumptions!H$204&gt;=Account_Register!$W$25,MOD(Assumptions!H$204-Account_Register!$W$25,3)=0),H48/4,0)</f>
        <v>0</v>
      </c>
      <c r="I90" s="65" t="n">
        <f aca="false">IF(AND(Assumptions!I$204&gt;=Account_Register!$W$25,MOD(Assumptions!I$204-Account_Register!$W$25,3)=0),I48/4,0)</f>
        <v>0</v>
      </c>
      <c r="J90" s="65" t="n">
        <f aca="false">IF(AND(Assumptions!J$204&gt;=Account_Register!$W$25,MOD(Assumptions!J$204-Account_Register!$W$25,3)=0),J48/4,0)</f>
        <v>0</v>
      </c>
      <c r="K90" s="65" t="n">
        <f aca="false">IF(AND(Assumptions!K$204&gt;=Account_Register!$W$25,MOD(Assumptions!K$204-Account_Register!$W$25,3)=0),K48/4,0)</f>
        <v>0</v>
      </c>
      <c r="L90" s="65" t="n">
        <f aca="false">IF(AND(Assumptions!L$204&gt;=Account_Register!$W$25,MOD(Assumptions!L$204-Account_Register!$W$25,3)=0),L48/4,0)</f>
        <v>0</v>
      </c>
      <c r="M90" s="65" t="n">
        <f aca="false">IF(AND(Assumptions!M$204&gt;=Account_Register!$W$25,MOD(Assumptions!M$204-Account_Register!$W$25,3)=0),M48/4,0)</f>
        <v>0</v>
      </c>
      <c r="N90" s="65" t="n">
        <f aca="false">IF(AND(Assumptions!N$204&gt;=Account_Register!$W$25,MOD(Assumptions!N$204-Account_Register!$W$25,3)=0),N48/4,0)</f>
        <v>0</v>
      </c>
      <c r="O90" s="65" t="n">
        <f aca="false">IF(AND(Assumptions!O$204&gt;=Account_Register!$W$25,MOD(Assumptions!O$204-Account_Register!$W$25,3)=0),O48/4,0)</f>
        <v>0</v>
      </c>
      <c r="P90" s="65" t="n">
        <f aca="false">IF(AND(Assumptions!P$204&gt;=Account_Register!$W$25,MOD(Assumptions!P$204-Account_Register!$W$25,3)=0),P48/4,0)</f>
        <v>0</v>
      </c>
      <c r="Q90" s="65" t="n">
        <f aca="false">IF(AND(Assumptions!Q$204&gt;=Account_Register!$W$25,MOD(Assumptions!Q$204-Account_Register!$W$25,3)=0),Q48/4,0)</f>
        <v>0</v>
      </c>
      <c r="R90" s="65" t="n">
        <f aca="false">IF(AND(Assumptions!R$204&gt;=Account_Register!$W$25,MOD(Assumptions!R$204-Account_Register!$W$25,3)=0),R48/4,0)</f>
        <v>0</v>
      </c>
      <c r="S90" s="65" t="n">
        <f aca="false">IF(AND(Assumptions!S$204&gt;=Account_Register!$W$25,MOD(Assumptions!S$204-Account_Register!$W$25,3)=0),S48/4,0)</f>
        <v>22500</v>
      </c>
      <c r="T90" s="65" t="n">
        <f aca="false">IF(AND(Assumptions!T$204&gt;=Account_Register!$W$25,MOD(Assumptions!T$204-Account_Register!$W$25,3)=0),T48/4,0)</f>
        <v>0</v>
      </c>
      <c r="U90" s="65" t="n">
        <f aca="false">IF(AND(Assumptions!U$204&gt;=Account_Register!$W$25,MOD(Assumptions!U$204-Account_Register!$W$25,3)=0),U48/4,0)</f>
        <v>0</v>
      </c>
      <c r="V90" s="65" t="n">
        <f aca="false">IF(AND(Assumptions!V$204&gt;=Account_Register!$W$25,MOD(Assumptions!V$204-Account_Register!$W$25,3)=0),V48/4,0)</f>
        <v>22500</v>
      </c>
      <c r="W90" s="65" t="n">
        <f aca="false">IF(AND(Assumptions!W$204&gt;=Account_Register!$W$25,MOD(Assumptions!W$204-Account_Register!$W$25,3)=0),W48/4,0)</f>
        <v>0</v>
      </c>
      <c r="X90" s="65" t="n">
        <f aca="false">IF(AND(Assumptions!X$204&gt;=Account_Register!$W$25,MOD(Assumptions!X$204-Account_Register!$W$25,3)=0),X48/4,0)</f>
        <v>0</v>
      </c>
      <c r="Y90" s="65" t="n">
        <f aca="false">IF(AND(Assumptions!Y$204&gt;=Account_Register!$W$25,MOD(Assumptions!Y$204-Account_Register!$W$25,3)=0),Y48/4,0)</f>
        <v>22500</v>
      </c>
      <c r="Z90" s="65" t="n">
        <f aca="false">IF(AND(Assumptions!Z$204&gt;=Account_Register!$W$25,MOD(Assumptions!Z$204-Account_Register!$W$25,3)=0),Z48/4,0)</f>
        <v>0</v>
      </c>
      <c r="AA90" s="65" t="n">
        <f aca="false">IF(AND(Assumptions!AA$204&gt;=Account_Register!$W$25,MOD(Assumptions!AA$204-Account_Register!$W$25,3)=0),AA48/4,0)</f>
        <v>0</v>
      </c>
      <c r="AB90" s="65" t="n">
        <f aca="false">IF(AND(Assumptions!AB$204&gt;=Account_Register!$W$25,MOD(Assumptions!AB$204-Account_Register!$W$25,3)=0),AB48/4,0)</f>
        <v>22500</v>
      </c>
    </row>
    <row r="91" customFormat="false" ht="15" hidden="false" customHeight="false" outlineLevel="0" collapsed="false">
      <c r="A91" s="28" t="s">
        <v>933</v>
      </c>
      <c r="B91" s="62"/>
      <c r="C91" s="64" t="n">
        <f aca="false">SUM(E91:P91)</f>
        <v>0</v>
      </c>
      <c r="D91" s="64" t="n">
        <f aca="false">SUM(Q91:AB91)</f>
        <v>101250</v>
      </c>
      <c r="E91" s="65" t="n">
        <f aca="false">IF(AND(Assumptions!E$204&gt;=Account_Register!$W$26,MOD(Assumptions!E$204-Account_Register!$W$26,3)=0),E49/4,0)</f>
        <v>0</v>
      </c>
      <c r="F91" s="65" t="n">
        <f aca="false">IF(AND(Assumptions!F$204&gt;=Account_Register!$W$26,MOD(Assumptions!F$204-Account_Register!$W$26,3)=0),F49/4,0)</f>
        <v>0</v>
      </c>
      <c r="G91" s="65" t="n">
        <f aca="false">IF(AND(Assumptions!G$204&gt;=Account_Register!$W$26,MOD(Assumptions!G$204-Account_Register!$W$26,3)=0),G49/4,0)</f>
        <v>0</v>
      </c>
      <c r="H91" s="65" t="n">
        <f aca="false">IF(AND(Assumptions!H$204&gt;=Account_Register!$W$26,MOD(Assumptions!H$204-Account_Register!$W$26,3)=0),H49/4,0)</f>
        <v>0</v>
      </c>
      <c r="I91" s="65" t="n">
        <f aca="false">IF(AND(Assumptions!I$204&gt;=Account_Register!$W$26,MOD(Assumptions!I$204-Account_Register!$W$26,3)=0),I49/4,0)</f>
        <v>0</v>
      </c>
      <c r="J91" s="65" t="n">
        <f aca="false">IF(AND(Assumptions!J$204&gt;=Account_Register!$W$26,MOD(Assumptions!J$204-Account_Register!$W$26,3)=0),J49/4,0)</f>
        <v>0</v>
      </c>
      <c r="K91" s="65" t="n">
        <f aca="false">IF(AND(Assumptions!K$204&gt;=Account_Register!$W$26,MOD(Assumptions!K$204-Account_Register!$W$26,3)=0),K49/4,0)</f>
        <v>0</v>
      </c>
      <c r="L91" s="65" t="n">
        <f aca="false">IF(AND(Assumptions!L$204&gt;=Account_Register!$W$26,MOD(Assumptions!L$204-Account_Register!$W$26,3)=0),L49/4,0)</f>
        <v>0</v>
      </c>
      <c r="M91" s="65" t="n">
        <f aca="false">IF(AND(Assumptions!M$204&gt;=Account_Register!$W$26,MOD(Assumptions!M$204-Account_Register!$W$26,3)=0),M49/4,0)</f>
        <v>0</v>
      </c>
      <c r="N91" s="65" t="n">
        <f aca="false">IF(AND(Assumptions!N$204&gt;=Account_Register!$W$26,MOD(Assumptions!N$204-Account_Register!$W$26,3)=0),N49/4,0)</f>
        <v>0</v>
      </c>
      <c r="O91" s="65" t="n">
        <f aca="false">IF(AND(Assumptions!O$204&gt;=Account_Register!$W$26,MOD(Assumptions!O$204-Account_Register!$W$26,3)=0),O49/4,0)</f>
        <v>0</v>
      </c>
      <c r="P91" s="65" t="n">
        <f aca="false">IF(AND(Assumptions!P$204&gt;=Account_Register!$W$26,MOD(Assumptions!P$204-Account_Register!$W$26,3)=0),P49/4,0)</f>
        <v>0</v>
      </c>
      <c r="Q91" s="65" t="n">
        <f aca="false">IF(AND(Assumptions!Q$204&gt;=Account_Register!$W$26,MOD(Assumptions!Q$204-Account_Register!$W$26,3)=0),Q49/4,0)</f>
        <v>0</v>
      </c>
      <c r="R91" s="65" t="n">
        <f aca="false">IF(AND(Assumptions!R$204&gt;=Account_Register!$W$26,MOD(Assumptions!R$204-Account_Register!$W$26,3)=0),R49/4,0)</f>
        <v>0</v>
      </c>
      <c r="S91" s="65" t="n">
        <f aca="false">IF(AND(Assumptions!S$204&gt;=Account_Register!$W$26,MOD(Assumptions!S$204-Account_Register!$W$26,3)=0),S49/4,0)</f>
        <v>0</v>
      </c>
      <c r="T91" s="65" t="n">
        <f aca="false">IF(AND(Assumptions!T$204&gt;=Account_Register!$W$26,MOD(Assumptions!T$204-Account_Register!$W$26,3)=0),T49/4,0)</f>
        <v>0</v>
      </c>
      <c r="U91" s="65" t="n">
        <f aca="false">IF(AND(Assumptions!U$204&gt;=Account_Register!$W$26,MOD(Assumptions!U$204-Account_Register!$W$26,3)=0),U49/4,0)</f>
        <v>33750</v>
      </c>
      <c r="V91" s="65" t="n">
        <f aca="false">IF(AND(Assumptions!V$204&gt;=Account_Register!$W$26,MOD(Assumptions!V$204-Account_Register!$W$26,3)=0),V49/4,0)</f>
        <v>0</v>
      </c>
      <c r="W91" s="65" t="n">
        <f aca="false">IF(AND(Assumptions!W$204&gt;=Account_Register!$W$26,MOD(Assumptions!W$204-Account_Register!$W$26,3)=0),W49/4,0)</f>
        <v>0</v>
      </c>
      <c r="X91" s="65" t="n">
        <f aca="false">IF(AND(Assumptions!X$204&gt;=Account_Register!$W$26,MOD(Assumptions!X$204-Account_Register!$W$26,3)=0),X49/4,0)</f>
        <v>33750</v>
      </c>
      <c r="Y91" s="65" t="n">
        <f aca="false">IF(AND(Assumptions!Y$204&gt;=Account_Register!$W$26,MOD(Assumptions!Y$204-Account_Register!$W$26,3)=0),Y49/4,0)</f>
        <v>0</v>
      </c>
      <c r="Z91" s="65" t="n">
        <f aca="false">IF(AND(Assumptions!Z$204&gt;=Account_Register!$W$26,MOD(Assumptions!Z$204-Account_Register!$W$26,3)=0),Z49/4,0)</f>
        <v>0</v>
      </c>
      <c r="AA91" s="65" t="n">
        <f aca="false">IF(AND(Assumptions!AA$204&gt;=Account_Register!$W$26,MOD(Assumptions!AA$204-Account_Register!$W$26,3)=0),AA49/4,0)</f>
        <v>33750</v>
      </c>
      <c r="AB91" s="65" t="n">
        <f aca="false">IF(AND(Assumptions!AB$204&gt;=Account_Register!$W$26,MOD(Assumptions!AB$204-Account_Register!$W$26,3)=0),AB49/4,0)</f>
        <v>0</v>
      </c>
    </row>
    <row r="92" customFormat="false" ht="15" hidden="false" customHeight="false" outlineLevel="0" collapsed="false">
      <c r="A92" s="22" t="s">
        <v>936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row>
    <row r="93" customFormat="false" ht="15" hidden="false" customHeight="false" outlineLevel="0" collapsed="false">
      <c r="A93" s="28" t="s">
        <v>913</v>
      </c>
      <c r="B93" s="62"/>
      <c r="C93" s="64" t="n">
        <f aca="false">SUM(E93:P93)</f>
        <v>15059.34</v>
      </c>
      <c r="D93" s="64" t="n">
        <f aca="false">SUM(Q93:AB93)</f>
        <v>141378.638894895</v>
      </c>
      <c r="E93" s="65" t="n">
        <f aca="false">MAX(0,E51-E30)-MAX(0,Account_Register!$K$7-E30)</f>
        <v>0</v>
      </c>
      <c r="F93" s="73" t="n">
        <f aca="false">MAX(0,F51-F30)-MAX(0,E51-F30)</f>
        <v>0</v>
      </c>
      <c r="G93" s="73" t="n">
        <f aca="false">MAX(0,G51-G30)-MAX(0,F51-G30)</f>
        <v>0</v>
      </c>
      <c r="H93" s="73" t="n">
        <f aca="false">MAX(0,H51-H30)-MAX(0,G51-H30)</f>
        <v>0</v>
      </c>
      <c r="I93" s="73" t="n">
        <f aca="false">MAX(0,I51-I30)-MAX(0,H51-I30)</f>
        <v>15059.34</v>
      </c>
      <c r="J93" s="73" t="n">
        <f aca="false">MAX(0,J51-J30)</f>
        <v>0</v>
      </c>
      <c r="K93" s="73" t="n">
        <f aca="false">MAX(0,K51-K30)-MAX(0,J51-K30)</f>
        <v>0</v>
      </c>
      <c r="L93" s="73" t="n">
        <f aca="false">MAX(0,L51-L30)-MAX(0,K51-L30)</f>
        <v>0</v>
      </c>
      <c r="M93" s="73" t="n">
        <f aca="false">MAX(0,M51-M30)-MAX(0,L51-M30)</f>
        <v>0</v>
      </c>
      <c r="N93" s="73" t="n">
        <f aca="false">MAX(0,N51-N30)-MAX(0,M51-N30)</f>
        <v>0</v>
      </c>
      <c r="O93" s="73" t="n">
        <f aca="false">MAX(0,O51-O30)-MAX(0,N51-O30)</f>
        <v>0</v>
      </c>
      <c r="P93" s="73" t="n">
        <f aca="false">MAX(0,P51-P30)-MAX(0,O51-P30)</f>
        <v>0</v>
      </c>
      <c r="Q93" s="73" t="n">
        <f aca="false">MAX(0,Q51-Q30)-MAX(0,P51-Q30)</f>
        <v>0</v>
      </c>
      <c r="R93" s="73" t="n">
        <f aca="false">MAX(0,R51-R30)-MAX(0,Q51-R30)</f>
        <v>0</v>
      </c>
      <c r="S93" s="73" t="n">
        <f aca="false">MAX(0,S51-S30)-MAX(0,R51-S30)</f>
        <v>44522.8443618236</v>
      </c>
      <c r="T93" s="73" t="n">
        <f aca="false">MAX(0,T51-T30)-MAX(0,S51-T30)</f>
        <v>47900.9864159601</v>
      </c>
      <c r="U93" s="73" t="n">
        <f aca="false">MAX(0,U51-U30)-MAX(0,T51-U30)</f>
        <v>48954.8081171113</v>
      </c>
      <c r="V93" s="73" t="n">
        <f aca="false">MAX(0,V51-V30)</f>
        <v>0</v>
      </c>
      <c r="W93" s="73" t="n">
        <f aca="false">MAX(0,W51-W30)-MAX(0,V51-W30)</f>
        <v>0</v>
      </c>
      <c r="X93" s="73" t="n">
        <f aca="false">MAX(0,X51-X30)-MAX(0,W51-X30)</f>
        <v>0</v>
      </c>
      <c r="Y93" s="73" t="n">
        <f aca="false">MAX(0,Y51-Y30)-MAX(0,X51-Y30)</f>
        <v>0</v>
      </c>
      <c r="Z93" s="73" t="n">
        <f aca="false">MAX(0,Z51-Z30)-MAX(0,Y51-Z30)</f>
        <v>0</v>
      </c>
      <c r="AA93" s="73" t="n">
        <f aca="false">MAX(0,AA51-AA30)-MAX(0,Z51-AA30)</f>
        <v>0</v>
      </c>
      <c r="AB93" s="73" t="n">
        <f aca="false">MAX(0,AB51-AB30)-MAX(0,AA51-AB30)</f>
        <v>0</v>
      </c>
    </row>
    <row r="94" customFormat="false" ht="15" hidden="false" customHeight="false" outlineLevel="0" collapsed="false">
      <c r="A94" s="28" t="s">
        <v>915</v>
      </c>
      <c r="B94" s="62"/>
      <c r="C94" s="64" t="n">
        <f aca="false">SUM(E94:P94)</f>
        <v>0</v>
      </c>
      <c r="D94" s="64" t="n">
        <f aca="false">SUM(Q94:AB94)</f>
        <v>0</v>
      </c>
      <c r="E94" s="65" t="n">
        <f aca="false">MAX(0,E52-E31)-MAX(0,Account_Register!$K$8-E31)</f>
        <v>0</v>
      </c>
      <c r="F94" s="73" t="n">
        <f aca="false">MAX(0,F52-F31)-MAX(0,E52-F31)</f>
        <v>0</v>
      </c>
      <c r="G94" s="73" t="n">
        <f aca="false">MAX(0,G52-G31)-MAX(0,F52-G31)</f>
        <v>0</v>
      </c>
      <c r="H94" s="73" t="n">
        <f aca="false">MAX(0,H52-H31)-MAX(0,G52-H31)</f>
        <v>0</v>
      </c>
      <c r="I94" s="73" t="n">
        <f aca="false">MAX(0,I52-I31)-MAX(0,H52-I31)</f>
        <v>0</v>
      </c>
      <c r="J94" s="73" t="n">
        <f aca="false">MAX(0,J52-J31)-MAX(0,I52-J31)</f>
        <v>0</v>
      </c>
      <c r="K94" s="73" t="n">
        <f aca="false">MAX(0,K52-K31)-MAX(0,J52-K31)</f>
        <v>0</v>
      </c>
      <c r="L94" s="73" t="n">
        <f aca="false">MAX(0,L52-L31)-MAX(0,K52-L31)</f>
        <v>0</v>
      </c>
      <c r="M94" s="73" t="n">
        <f aca="false">MAX(0,M52-M31)-MAX(0,L52-M31)</f>
        <v>0</v>
      </c>
      <c r="N94" s="73" t="n">
        <f aca="false">MAX(0,N52-N31)</f>
        <v>0</v>
      </c>
      <c r="O94" s="73" t="n">
        <f aca="false">MAX(0,O52-O31)-MAX(0,N52-O31)</f>
        <v>0</v>
      </c>
      <c r="P94" s="73" t="n">
        <f aca="false">MAX(0,P52-P31)-MAX(0,O52-P31)</f>
        <v>0</v>
      </c>
      <c r="Q94" s="73" t="n">
        <f aca="false">MAX(0,Q52-Q31)-MAX(0,P52-Q31)</f>
        <v>0</v>
      </c>
      <c r="R94" s="73" t="n">
        <f aca="false">MAX(0,R52-R31)-MAX(0,Q52-R31)</f>
        <v>0</v>
      </c>
      <c r="S94" s="73" t="n">
        <f aca="false">MAX(0,S52-S31)-MAX(0,R52-S31)</f>
        <v>0</v>
      </c>
      <c r="T94" s="73" t="n">
        <f aca="false">MAX(0,T52-T31)-MAX(0,S52-T31)</f>
        <v>0</v>
      </c>
      <c r="U94" s="73" t="n">
        <f aca="false">MAX(0,U52-U31)-MAX(0,T52-U31)</f>
        <v>0</v>
      </c>
      <c r="V94" s="73" t="n">
        <f aca="false">MAX(0,V52-V31)-MAX(0,U52-V31)</f>
        <v>0</v>
      </c>
      <c r="W94" s="73" t="n">
        <f aca="false">MAX(0,W52-W31)-MAX(0,V52-W31)</f>
        <v>0</v>
      </c>
      <c r="X94" s="73" t="n">
        <f aca="false">MAX(0,X52-X31)-MAX(0,W52-X31)</f>
        <v>0</v>
      </c>
      <c r="Y94" s="73" t="n">
        <f aca="false">MAX(0,Y52-Y31)-MAX(0,X52-Y31)</f>
        <v>0</v>
      </c>
      <c r="Z94" s="73" t="n">
        <f aca="false">MAX(0,Z52-Z31)</f>
        <v>0</v>
      </c>
      <c r="AA94" s="73" t="n">
        <f aca="false">MAX(0,AA52-AA31)-MAX(0,Z52-AA31)</f>
        <v>0</v>
      </c>
      <c r="AB94" s="73" t="n">
        <f aca="false">MAX(0,AB52-AB31)-MAX(0,AA52-AB31)</f>
        <v>0</v>
      </c>
    </row>
    <row r="95" customFormat="false" ht="15" hidden="false" customHeight="false" outlineLevel="0" collapsed="false">
      <c r="A95" s="28" t="s">
        <v>916</v>
      </c>
      <c r="B95" s="62"/>
      <c r="C95" s="64" t="n">
        <f aca="false">SUM(E95:P95)</f>
        <v>47079.4332900108</v>
      </c>
      <c r="D95" s="64" t="n">
        <f aca="false">SUM(Q95:AB95)</f>
        <v>109866.007439611</v>
      </c>
      <c r="E95" s="65" t="n">
        <f aca="false">MAX(0,E53-E32)-MAX(0,Account_Register!$K$9-E32)</f>
        <v>5087.31</v>
      </c>
      <c r="F95" s="73" t="n">
        <f aca="false">MAX(0,F53-F32)</f>
        <v>0</v>
      </c>
      <c r="G95" s="73" t="n">
        <f aca="false">MAX(0,G53-G32)-MAX(0,F53-G32)</f>
        <v>0</v>
      </c>
      <c r="H95" s="73" t="n">
        <f aca="false">MAX(0,H53-H32)-MAX(0,G53-H32)</f>
        <v>0</v>
      </c>
      <c r="I95" s="73" t="n">
        <f aca="false">MAX(0,I53-I32)-MAX(0,H53-I32)</f>
        <v>0</v>
      </c>
      <c r="J95" s="73" t="n">
        <f aca="false">MAX(0,J53-J32)-MAX(0,I53-J32)</f>
        <v>0</v>
      </c>
      <c r="K95" s="73" t="n">
        <f aca="false">MAX(0,K53-K32)-MAX(0,J53-K32)</f>
        <v>0</v>
      </c>
      <c r="L95" s="73" t="n">
        <f aca="false">MAX(0,L53-L32)-MAX(0,K53-L32)</f>
        <v>0</v>
      </c>
      <c r="M95" s="73" t="n">
        <f aca="false">MAX(0,M53-M32)-MAX(0,L53-M32)</f>
        <v>0</v>
      </c>
      <c r="N95" s="73" t="n">
        <f aca="false">MAX(0,N53-N32)-MAX(0,M53-N32)</f>
        <v>0</v>
      </c>
      <c r="O95" s="73" t="n">
        <f aca="false">MAX(0,O53-O32)-MAX(0,N53-O32)</f>
        <v>5113.15560904797</v>
      </c>
      <c r="P95" s="73" t="n">
        <f aca="false">MAX(0,P53-P32)-MAX(0,O53-P32)</f>
        <v>36878.9676809629</v>
      </c>
      <c r="Q95" s="73" t="n">
        <f aca="false">MAX(0,Q53-Q32)-MAX(0,P53-Q32)</f>
        <v>37542.7890992202</v>
      </c>
      <c r="R95" s="73" t="n">
        <f aca="false">MAX(0,R53-R32)</f>
        <v>0</v>
      </c>
      <c r="S95" s="73" t="n">
        <f aca="false">MAX(0,S53-S32)-MAX(0,R53-S32)</f>
        <v>0</v>
      </c>
      <c r="T95" s="73" t="n">
        <f aca="false">MAX(0,T53-T32)-MAX(0,S53-T32)</f>
        <v>0</v>
      </c>
      <c r="U95" s="73" t="n">
        <f aca="false">MAX(0,U53-U32)-MAX(0,T53-U32)</f>
        <v>0</v>
      </c>
      <c r="V95" s="73" t="n">
        <f aca="false">MAX(0,V53-V32)-MAX(0,U53-V32)</f>
        <v>0</v>
      </c>
      <c r="W95" s="73" t="n">
        <f aca="false">MAX(0,W53-W32)-MAX(0,V53-W32)</f>
        <v>0</v>
      </c>
      <c r="X95" s="73" t="n">
        <f aca="false">MAX(0,X53-X32)-MAX(0,W53-X32)</f>
        <v>0</v>
      </c>
      <c r="Y95" s="73" t="n">
        <f aca="false">MAX(0,Y53-Y32)-MAX(0,X53-Y32)</f>
        <v>0</v>
      </c>
      <c r="Z95" s="73" t="n">
        <f aca="false">MAX(0,Z53-Z32)-MAX(0,Y53-Z32)</f>
        <v>0</v>
      </c>
      <c r="AA95" s="73" t="n">
        <f aca="false">MAX(0,AA53-AA32)-MAX(0,Z53-AA32)</f>
        <v>31208.7573356439</v>
      </c>
      <c r="AB95" s="73" t="n">
        <f aca="false">MAX(0,AB53-AB32)-MAX(0,AA53-AB32)</f>
        <v>41114.4610047471</v>
      </c>
    </row>
    <row r="96" customFormat="false" ht="15" hidden="false" customHeight="false" outlineLevel="0" collapsed="false">
      <c r="A96" s="28" t="s">
        <v>917</v>
      </c>
      <c r="B96" s="62"/>
      <c r="C96" s="64" t="n">
        <f aca="false">SUM(E96:P96)</f>
        <v>0</v>
      </c>
      <c r="D96" s="64" t="n">
        <f aca="false">SUM(Q96:AB96)</f>
        <v>0</v>
      </c>
      <c r="E96" s="65" t="n">
        <f aca="false">MAX(0,E54-E33)-MAX(0,Account_Register!$K$10-E33)</f>
        <v>0</v>
      </c>
      <c r="F96" s="73" t="n">
        <f aca="false">MAX(0,F54-F33)-MAX(0,E54-F33)</f>
        <v>0</v>
      </c>
      <c r="G96" s="73" t="n">
        <f aca="false">MAX(0,G54-G33)-MAX(0,F54-G33)</f>
        <v>0</v>
      </c>
      <c r="H96" s="73" t="n">
        <f aca="false">MAX(0,H54-H33)</f>
        <v>0</v>
      </c>
      <c r="I96" s="73" t="n">
        <f aca="false">MAX(0,I54-I33)-MAX(0,H54-I33)</f>
        <v>0</v>
      </c>
      <c r="J96" s="73" t="n">
        <f aca="false">MAX(0,J54-J33)-MAX(0,I54-J33)</f>
        <v>0</v>
      </c>
      <c r="K96" s="73" t="n">
        <f aca="false">MAX(0,K54-K33)-MAX(0,J54-K33)</f>
        <v>0</v>
      </c>
      <c r="L96" s="73" t="n">
        <f aca="false">MAX(0,L54-L33)-MAX(0,K54-L33)</f>
        <v>0</v>
      </c>
      <c r="M96" s="73" t="n">
        <f aca="false">MAX(0,M54-M33)-MAX(0,L54-M33)</f>
        <v>0</v>
      </c>
      <c r="N96" s="73" t="n">
        <f aca="false">MAX(0,N54-N33)-MAX(0,M54-N33)</f>
        <v>0</v>
      </c>
      <c r="O96" s="73" t="n">
        <f aca="false">MAX(0,O54-O33)-MAX(0,N54-O33)</f>
        <v>0</v>
      </c>
      <c r="P96" s="73" t="n">
        <f aca="false">MAX(0,P54-P33)-MAX(0,O54-P33)</f>
        <v>0</v>
      </c>
      <c r="Q96" s="73" t="n">
        <f aca="false">MAX(0,Q54-Q33)-MAX(0,P54-Q33)</f>
        <v>0</v>
      </c>
      <c r="R96" s="73" t="n">
        <f aca="false">MAX(0,R54-R33)-MAX(0,Q54-R33)</f>
        <v>0</v>
      </c>
      <c r="S96" s="73" t="n">
        <f aca="false">MAX(0,S54-S33)-MAX(0,R54-S33)</f>
        <v>0</v>
      </c>
      <c r="T96" s="73" t="n">
        <f aca="false">MAX(0,T54-T33)</f>
        <v>0</v>
      </c>
      <c r="U96" s="73" t="n">
        <f aca="false">MAX(0,U54-U33)-MAX(0,T54-U33)</f>
        <v>0</v>
      </c>
      <c r="V96" s="73" t="n">
        <f aca="false">MAX(0,V54-V33)-MAX(0,U54-V33)</f>
        <v>0</v>
      </c>
      <c r="W96" s="73" t="n">
        <f aca="false">MAX(0,W54-W33)-MAX(0,V54-W33)</f>
        <v>0</v>
      </c>
      <c r="X96" s="73" t="n">
        <f aca="false">MAX(0,X54-X33)-MAX(0,W54-X33)</f>
        <v>0</v>
      </c>
      <c r="Y96" s="73" t="n">
        <f aca="false">MAX(0,Y54-Y33)-MAX(0,X54-Y33)</f>
        <v>0</v>
      </c>
      <c r="Z96" s="73" t="n">
        <f aca="false">MAX(0,Z54-Z33)-MAX(0,Y54-Z33)</f>
        <v>0</v>
      </c>
      <c r="AA96" s="73" t="n">
        <f aca="false">MAX(0,AA54-AA33)-MAX(0,Z54-AA33)</f>
        <v>0</v>
      </c>
      <c r="AB96" s="73" t="n">
        <f aca="false">MAX(0,AB54-AB33)-MAX(0,AA54-AB33)</f>
        <v>0</v>
      </c>
    </row>
    <row r="97" customFormat="false" ht="15" hidden="false" customHeight="false" outlineLevel="0" collapsed="false">
      <c r="A97" s="28" t="s">
        <v>918</v>
      </c>
      <c r="B97" s="62"/>
      <c r="C97" s="64" t="n">
        <f aca="false">SUM(E97:P97)</f>
        <v>0</v>
      </c>
      <c r="D97" s="64" t="n">
        <f aca="false">SUM(Q97:AB97)</f>
        <v>0</v>
      </c>
      <c r="E97" s="65" t="n">
        <f aca="false">MAX(0,E55-E34)-MAX(0,Account_Register!$K$11-E34)</f>
        <v>0</v>
      </c>
      <c r="F97" s="73" t="n">
        <f aca="false">MAX(0,F55-F34)-MAX(0,E55-F34)</f>
        <v>0</v>
      </c>
      <c r="G97" s="73" t="n">
        <f aca="false">MAX(0,G55-G34)-MAX(0,F55-G34)</f>
        <v>0</v>
      </c>
      <c r="H97" s="73" t="n">
        <f aca="false">MAX(0,H55-H34)-MAX(0,G55-H34)</f>
        <v>0</v>
      </c>
      <c r="I97" s="73" t="n">
        <f aca="false">MAX(0,I55-I34)-MAX(0,H55-I34)</f>
        <v>0</v>
      </c>
      <c r="J97" s="73" t="n">
        <f aca="false">MAX(0,J55-J34)-MAX(0,I55-J34)</f>
        <v>0</v>
      </c>
      <c r="K97" s="73" t="n">
        <f aca="false">MAX(0,K55-K34)</f>
        <v>0</v>
      </c>
      <c r="L97" s="73" t="n">
        <f aca="false">MAX(0,L55-L34)-MAX(0,K55-L34)</f>
        <v>0</v>
      </c>
      <c r="M97" s="73" t="n">
        <f aca="false">MAX(0,M55-M34)-MAX(0,L55-M34)</f>
        <v>0</v>
      </c>
      <c r="N97" s="73" t="n">
        <f aca="false">MAX(0,N55-N34)-MAX(0,M55-N34)</f>
        <v>0</v>
      </c>
      <c r="O97" s="73" t="n">
        <f aca="false">MAX(0,O55-O34)-MAX(0,N55-O34)</f>
        <v>0</v>
      </c>
      <c r="P97" s="73" t="n">
        <f aca="false">MAX(0,P55-P34)-MAX(0,O55-P34)</f>
        <v>0</v>
      </c>
      <c r="Q97" s="73" t="n">
        <f aca="false">MAX(0,Q55-Q34)-MAX(0,P55-Q34)</f>
        <v>0</v>
      </c>
      <c r="R97" s="73" t="n">
        <f aca="false">MAX(0,R55-R34)-MAX(0,Q55-R34)</f>
        <v>0</v>
      </c>
      <c r="S97" s="73" t="n">
        <f aca="false">MAX(0,S55-S34)-MAX(0,R55-S34)</f>
        <v>0</v>
      </c>
      <c r="T97" s="73" t="n">
        <f aca="false">MAX(0,T55-T34)-MAX(0,S55-T34)</f>
        <v>0</v>
      </c>
      <c r="U97" s="73" t="n">
        <f aca="false">MAX(0,U55-U34)-MAX(0,T55-U34)</f>
        <v>0</v>
      </c>
      <c r="V97" s="73" t="n">
        <f aca="false">MAX(0,V55-V34)-MAX(0,U55-V34)</f>
        <v>0</v>
      </c>
      <c r="W97" s="73" t="n">
        <f aca="false">MAX(0,W55-W34)</f>
        <v>0</v>
      </c>
      <c r="X97" s="73" t="n">
        <f aca="false">MAX(0,X55-X34)-MAX(0,W55-X34)</f>
        <v>0</v>
      </c>
      <c r="Y97" s="73" t="n">
        <f aca="false">MAX(0,Y55-Y34)-MAX(0,X55-Y34)</f>
        <v>0</v>
      </c>
      <c r="Z97" s="73" t="n">
        <f aca="false">MAX(0,Z55-Z34)-MAX(0,Y55-Z34)</f>
        <v>0</v>
      </c>
      <c r="AA97" s="73" t="n">
        <f aca="false">MAX(0,AA55-AA34)-MAX(0,Z55-AA34)</f>
        <v>0</v>
      </c>
      <c r="AB97" s="73" t="n">
        <f aca="false">MAX(0,AB55-AB34)-MAX(0,AA55-AB34)</f>
        <v>0</v>
      </c>
    </row>
    <row r="98" customFormat="false" ht="15" hidden="false" customHeight="false" outlineLevel="0" collapsed="false">
      <c r="A98" s="28" t="s">
        <v>919</v>
      </c>
      <c r="B98" s="62"/>
      <c r="C98" s="64" t="n">
        <f aca="false">SUM(E98:P98)</f>
        <v>0</v>
      </c>
      <c r="D98" s="64" t="n">
        <f aca="false">SUM(Q98:AB98)</f>
        <v>0</v>
      </c>
      <c r="E98" s="65" t="n">
        <f aca="false">MAX(0,E56-E35)-MAX(0,Account_Register!$K$12-E35)</f>
        <v>0</v>
      </c>
      <c r="F98" s="73" t="n">
        <f aca="false">MAX(0,F56-F35)-MAX(0,E56-F35)</f>
        <v>0</v>
      </c>
      <c r="G98" s="73" t="n">
        <f aca="false">MAX(0,G56-G35)-MAX(0,F56-G35)</f>
        <v>0</v>
      </c>
      <c r="H98" s="73" t="n">
        <f aca="false">MAX(0,H56-H35)-MAX(0,G56-H35)</f>
        <v>0</v>
      </c>
      <c r="I98" s="73" t="n">
        <f aca="false">MAX(0,I56-I35)-MAX(0,H56-I35)</f>
        <v>0</v>
      </c>
      <c r="J98" s="73" t="n">
        <f aca="false">MAX(0,J56-J35)-MAX(0,I56-J35)</f>
        <v>0</v>
      </c>
      <c r="K98" s="73" t="n">
        <f aca="false">MAX(0,K56-K35)-MAX(0,J56-K35)</f>
        <v>0</v>
      </c>
      <c r="L98" s="73" t="n">
        <f aca="false">MAX(0,L56-L35)-MAX(0,K56-L35)</f>
        <v>0</v>
      </c>
      <c r="M98" s="73" t="n">
        <f aca="false">MAX(0,M56-M35)</f>
        <v>0</v>
      </c>
      <c r="N98" s="73" t="n">
        <f aca="false">MAX(0,N56-N35)-MAX(0,M56-N35)</f>
        <v>0</v>
      </c>
      <c r="O98" s="73" t="n">
        <f aca="false">MAX(0,O56-O35)-MAX(0,N56-O35)</f>
        <v>0</v>
      </c>
      <c r="P98" s="73" t="n">
        <f aca="false">MAX(0,P56-P35)-MAX(0,O56-P35)</f>
        <v>0</v>
      </c>
      <c r="Q98" s="73" t="n">
        <f aca="false">MAX(0,Q56-Q35)-MAX(0,P56-Q35)</f>
        <v>0</v>
      </c>
      <c r="R98" s="73" t="n">
        <f aca="false">MAX(0,R56-R35)-MAX(0,Q56-R35)</f>
        <v>0</v>
      </c>
      <c r="S98" s="73" t="n">
        <f aca="false">MAX(0,S56-S35)-MAX(0,R56-S35)</f>
        <v>0</v>
      </c>
      <c r="T98" s="73" t="n">
        <f aca="false">MAX(0,T56-T35)-MAX(0,S56-T35)</f>
        <v>0</v>
      </c>
      <c r="U98" s="73" t="n">
        <f aca="false">MAX(0,U56-U35)-MAX(0,T56-U35)</f>
        <v>0</v>
      </c>
      <c r="V98" s="73" t="n">
        <f aca="false">MAX(0,V56-V35)-MAX(0,U56-V35)</f>
        <v>0</v>
      </c>
      <c r="W98" s="73" t="n">
        <f aca="false">MAX(0,W56-W35)-MAX(0,V56-W35)</f>
        <v>0</v>
      </c>
      <c r="X98" s="73" t="n">
        <f aca="false">MAX(0,X56-X35)-MAX(0,W56-X35)</f>
        <v>0</v>
      </c>
      <c r="Y98" s="73" t="n">
        <f aca="false">MAX(0,Y56-Y35)</f>
        <v>0</v>
      </c>
      <c r="Z98" s="73" t="n">
        <f aca="false">MAX(0,Z56-Z35)-MAX(0,Y56-Z35)</f>
        <v>0</v>
      </c>
      <c r="AA98" s="73" t="n">
        <f aca="false">MAX(0,AA56-AA35)-MAX(0,Z56-AA35)</f>
        <v>0</v>
      </c>
      <c r="AB98" s="73" t="n">
        <f aca="false">MAX(0,AB56-AB35)-MAX(0,AA56-AB35)</f>
        <v>0</v>
      </c>
    </row>
    <row r="99" customFormat="false" ht="15" hidden="false" customHeight="false" outlineLevel="0" collapsed="false">
      <c r="A99" s="28" t="s">
        <v>920</v>
      </c>
      <c r="B99" s="62"/>
      <c r="C99" s="64" t="n">
        <f aca="false">SUM(E99:P99)</f>
        <v>6683.27705168002</v>
      </c>
      <c r="D99" s="64" t="n">
        <f aca="false">SUM(Q99:AB99)</f>
        <v>18790.8686257779</v>
      </c>
      <c r="E99" s="65" t="n">
        <f aca="false">MAX(0,E57-E36)-MAX(0,Account_Register!$K$13-E36)</f>
        <v>0</v>
      </c>
      <c r="F99" s="73" t="n">
        <f aca="false">MAX(0,F57-F36)-MAX(0,E57-F36)</f>
        <v>0</v>
      </c>
      <c r="G99" s="73" t="n">
        <f aca="false">MAX(0,G57-G36)-MAX(0,F57-G36)</f>
        <v>0</v>
      </c>
      <c r="H99" s="73" t="n">
        <f aca="false">MAX(0,H57-H36)-MAX(0,G57-H36)</f>
        <v>0</v>
      </c>
      <c r="I99" s="73" t="n">
        <f aca="false">MAX(0,I57-I36)-MAX(0,H57-I36)</f>
        <v>0</v>
      </c>
      <c r="J99" s="73" t="n">
        <f aca="false">MAX(0,J57-J36)-MAX(0,I57-J36)</f>
        <v>0</v>
      </c>
      <c r="K99" s="73" t="n">
        <f aca="false">MAX(0,K57-K36)-MAX(0,J57-K36)</f>
        <v>0</v>
      </c>
      <c r="L99" s="73" t="n">
        <f aca="false">MAX(0,L57-L36)-MAX(0,K57-L36)</f>
        <v>0</v>
      </c>
      <c r="M99" s="73" t="n">
        <f aca="false">MAX(0,M57-M36)-MAX(0,L57-M36)</f>
        <v>0</v>
      </c>
      <c r="N99" s="73" t="n">
        <f aca="false">MAX(0,N57-N36)-MAX(0,M57-N36)</f>
        <v>6683.27705168002</v>
      </c>
      <c r="O99" s="73" t="n">
        <f aca="false">MAX(0,O57-O36)</f>
        <v>0</v>
      </c>
      <c r="P99" s="73" t="n">
        <f aca="false">MAX(0,P57-P36)-MAX(0,O57-P36)</f>
        <v>0</v>
      </c>
      <c r="Q99" s="73" t="n">
        <f aca="false">MAX(0,Q57-Q36)-MAX(0,P57-Q36)</f>
        <v>0</v>
      </c>
      <c r="R99" s="73" t="n">
        <f aca="false">MAX(0,R57-R36)-MAX(0,Q57-R36)</f>
        <v>0</v>
      </c>
      <c r="S99" s="73" t="n">
        <f aca="false">MAX(0,S57-S36)-MAX(0,R57-S36)</f>
        <v>0</v>
      </c>
      <c r="T99" s="73" t="n">
        <f aca="false">MAX(0,T57-T36)-MAX(0,S57-T36)</f>
        <v>0</v>
      </c>
      <c r="U99" s="73" t="n">
        <f aca="false">MAX(0,U57-U36)-MAX(0,T57-U36)</f>
        <v>0</v>
      </c>
      <c r="V99" s="73" t="n">
        <f aca="false">MAX(0,V57-V36)-MAX(0,U57-V36)</f>
        <v>0</v>
      </c>
      <c r="W99" s="73" t="n">
        <f aca="false">MAX(0,W57-W36)-MAX(0,V57-W36)</f>
        <v>0</v>
      </c>
      <c r="X99" s="73" t="n">
        <f aca="false">MAX(0,X57-X36)-MAX(0,W57-X36)</f>
        <v>0</v>
      </c>
      <c r="Y99" s="73" t="n">
        <f aca="false">MAX(0,Y57-Y36)-MAX(0,X57-Y36)</f>
        <v>2203.2217402168</v>
      </c>
      <c r="Z99" s="73" t="n">
        <f aca="false">MAX(0,Z57-Z36)-MAX(0,Y57-Z36)</f>
        <v>16587.6468855611</v>
      </c>
      <c r="AA99" s="73" t="n">
        <f aca="false">MAX(0,AA57-AA36)</f>
        <v>0</v>
      </c>
      <c r="AB99" s="73" t="n">
        <f aca="false">MAX(0,AB57-AB36)-MAX(0,AA57-AB36)</f>
        <v>0</v>
      </c>
    </row>
    <row r="100" customFormat="false" ht="15" hidden="false" customHeight="false" outlineLevel="0" collapsed="false">
      <c r="A100" s="28" t="s">
        <v>921</v>
      </c>
      <c r="B100" s="62"/>
      <c r="C100" s="64" t="n">
        <f aca="false">SUM(E100:P100)</f>
        <v>8216.42000000001</v>
      </c>
      <c r="D100" s="64" t="n">
        <f aca="false">SUM(Q100:AB100)</f>
        <v>0</v>
      </c>
      <c r="E100" s="65" t="n">
        <f aca="false">MAX(0,E58-E37)-MAX(0,Account_Register!$K$14-E37)</f>
        <v>0</v>
      </c>
      <c r="F100" s="73" t="n">
        <f aca="false">MAX(0,F58-F37)-MAX(0,E58-F37)</f>
        <v>8216.42000000001</v>
      </c>
      <c r="G100" s="73" t="n">
        <f aca="false">MAX(0,G58-G37)</f>
        <v>0</v>
      </c>
      <c r="H100" s="73" t="n">
        <f aca="false">MAX(0,H58-H37)-MAX(0,G58-H37)</f>
        <v>0</v>
      </c>
      <c r="I100" s="73" t="n">
        <f aca="false">MAX(0,I58-I37)-MAX(0,H58-I37)</f>
        <v>0</v>
      </c>
      <c r="J100" s="73" t="n">
        <f aca="false">MAX(0,J58-J37)-MAX(0,I58-J37)</f>
        <v>0</v>
      </c>
      <c r="K100" s="73" t="n">
        <f aca="false">MAX(0,K58-K37)-MAX(0,J58-K37)</f>
        <v>0</v>
      </c>
      <c r="L100" s="73" t="n">
        <f aca="false">MAX(0,L58-L37)-MAX(0,K58-L37)</f>
        <v>0</v>
      </c>
      <c r="M100" s="73" t="n">
        <f aca="false">MAX(0,M58-M37)-MAX(0,L58-M37)</f>
        <v>0</v>
      </c>
      <c r="N100" s="73" t="n">
        <f aca="false">MAX(0,N58-N37)-MAX(0,M58-N37)</f>
        <v>0</v>
      </c>
      <c r="O100" s="73" t="n">
        <f aca="false">MAX(0,O58-O37)-MAX(0,N58-O37)</f>
        <v>0</v>
      </c>
      <c r="P100" s="73" t="n">
        <f aca="false">MAX(0,P58-P37)-MAX(0,O58-P37)</f>
        <v>0</v>
      </c>
      <c r="Q100" s="73" t="n">
        <f aca="false">MAX(0,Q58-Q37)-MAX(0,P58-Q37)</f>
        <v>0</v>
      </c>
      <c r="R100" s="73" t="n">
        <f aca="false">MAX(0,R58-R37)-MAX(0,Q58-R37)</f>
        <v>0</v>
      </c>
      <c r="S100" s="73" t="n">
        <f aca="false">MAX(0,S58-S37)</f>
        <v>0</v>
      </c>
      <c r="T100" s="73" t="n">
        <f aca="false">MAX(0,T58-T37)-MAX(0,S58-T37)</f>
        <v>0</v>
      </c>
      <c r="U100" s="73" t="n">
        <f aca="false">MAX(0,U58-U37)-MAX(0,T58-U37)</f>
        <v>0</v>
      </c>
      <c r="V100" s="73" t="n">
        <f aca="false">MAX(0,V58-V37)-MAX(0,U58-V37)</f>
        <v>0</v>
      </c>
      <c r="W100" s="73" t="n">
        <f aca="false">MAX(0,W58-W37)-MAX(0,V58-W37)</f>
        <v>0</v>
      </c>
      <c r="X100" s="73" t="n">
        <f aca="false">MAX(0,X58-X37)-MAX(0,W58-X37)</f>
        <v>0</v>
      </c>
      <c r="Y100" s="73" t="n">
        <f aca="false">MAX(0,Y58-Y37)-MAX(0,X58-Y37)</f>
        <v>0</v>
      </c>
      <c r="Z100" s="73" t="n">
        <f aca="false">MAX(0,Z58-Z37)-MAX(0,Y58-Z37)</f>
        <v>0</v>
      </c>
      <c r="AA100" s="73" t="n">
        <f aca="false">MAX(0,AA58-AA37)-MAX(0,Z58-AA37)</f>
        <v>0</v>
      </c>
      <c r="AB100" s="73" t="n">
        <f aca="false">MAX(0,AB58-AB37)-MAX(0,AA58-AB37)</f>
        <v>0</v>
      </c>
    </row>
    <row r="101" customFormat="false" ht="15" hidden="false" customHeight="false" outlineLevel="0" collapsed="false">
      <c r="A101" s="28" t="s">
        <v>922</v>
      </c>
      <c r="B101" s="62"/>
      <c r="C101" s="64" t="n">
        <f aca="false">SUM(E101:P101)</f>
        <v>0</v>
      </c>
      <c r="D101" s="64" t="n">
        <f aca="false">SUM(Q101:AB101)</f>
        <v>0</v>
      </c>
      <c r="E101" s="65" t="n">
        <f aca="false">MAX(0,E59-E38)-MAX(0,Account_Register!$K$15-E38)</f>
        <v>0</v>
      </c>
      <c r="F101" s="73" t="n">
        <f aca="false">MAX(0,F59-F38)</f>
        <v>0</v>
      </c>
      <c r="G101" s="73" t="n">
        <f aca="false">MAX(0,G59-G38)-MAX(0,F59-G38)</f>
        <v>0</v>
      </c>
      <c r="H101" s="73" t="n">
        <f aca="false">MAX(0,H59-H38)-MAX(0,G59-H38)</f>
        <v>0</v>
      </c>
      <c r="I101" s="73" t="n">
        <f aca="false">MAX(0,I59-I38)-MAX(0,H59-I38)</f>
        <v>0</v>
      </c>
      <c r="J101" s="73" t="n">
        <f aca="false">MAX(0,J59-J38)-MAX(0,I59-J38)</f>
        <v>0</v>
      </c>
      <c r="K101" s="73" t="n">
        <f aca="false">MAX(0,K59-K38)-MAX(0,J59-K38)</f>
        <v>0</v>
      </c>
      <c r="L101" s="73" t="n">
        <f aca="false">MAX(0,L59-L38)-MAX(0,K59-L38)</f>
        <v>0</v>
      </c>
      <c r="M101" s="73" t="n">
        <f aca="false">MAX(0,M59-M38)-MAX(0,L59-M38)</f>
        <v>0</v>
      </c>
      <c r="N101" s="73" t="n">
        <f aca="false">MAX(0,N59-N38)-MAX(0,M59-N38)</f>
        <v>0</v>
      </c>
      <c r="O101" s="73" t="n">
        <f aca="false">MAX(0,O59-O38)-MAX(0,N59-O38)</f>
        <v>0</v>
      </c>
      <c r="P101" s="73" t="n">
        <f aca="false">MAX(0,P59-P38)-MAX(0,O59-P38)</f>
        <v>0</v>
      </c>
      <c r="Q101" s="73" t="n">
        <f aca="false">MAX(0,Q59-Q38)-MAX(0,P59-Q38)</f>
        <v>0</v>
      </c>
      <c r="R101" s="73" t="n">
        <f aca="false">MAX(0,R59-R38)</f>
        <v>0</v>
      </c>
      <c r="S101" s="73" t="n">
        <f aca="false">MAX(0,S59-S38)-MAX(0,R59-S38)</f>
        <v>0</v>
      </c>
      <c r="T101" s="73" t="n">
        <f aca="false">MAX(0,T59-T38)-MAX(0,S59-T38)</f>
        <v>0</v>
      </c>
      <c r="U101" s="73" t="n">
        <f aca="false">MAX(0,U59-U38)-MAX(0,T59-U38)</f>
        <v>0</v>
      </c>
      <c r="V101" s="73" t="n">
        <f aca="false">MAX(0,V59-V38)-MAX(0,U59-V38)</f>
        <v>0</v>
      </c>
      <c r="W101" s="73" t="n">
        <f aca="false">MAX(0,W59-W38)-MAX(0,V59-W38)</f>
        <v>0</v>
      </c>
      <c r="X101" s="73" t="n">
        <f aca="false">MAX(0,X59-X38)-MAX(0,W59-X38)</f>
        <v>0</v>
      </c>
      <c r="Y101" s="73" t="n">
        <f aca="false">MAX(0,Y59-Y38)-MAX(0,X59-Y38)</f>
        <v>0</v>
      </c>
      <c r="Z101" s="73" t="n">
        <f aca="false">MAX(0,Z59-Z38)-MAX(0,Y59-Z38)</f>
        <v>0</v>
      </c>
      <c r="AA101" s="73" t="n">
        <f aca="false">MAX(0,AA59-AA38)-MAX(0,Z59-AA38)</f>
        <v>0</v>
      </c>
      <c r="AB101" s="73" t="n">
        <f aca="false">MAX(0,AB59-AB38)-MAX(0,AA59-AB38)</f>
        <v>0</v>
      </c>
    </row>
    <row r="102" customFormat="false" ht="15" hidden="false" customHeight="false" outlineLevel="0" collapsed="false">
      <c r="A102" s="28" t="s">
        <v>923</v>
      </c>
      <c r="B102" s="62"/>
      <c r="C102" s="64" t="n">
        <f aca="false">SUM(E102:P102)</f>
        <v>0</v>
      </c>
      <c r="D102" s="64" t="n">
        <f aca="false">SUM(Q102:AB102)</f>
        <v>52872.0472302017</v>
      </c>
      <c r="E102" s="65" t="n">
        <f aca="false">MAX(0,E60-E39)-MAX(0,Account_Register!$K$16-E39)</f>
        <v>0</v>
      </c>
      <c r="F102" s="73" t="n">
        <f aca="false">MAX(0,F60-F39)-MAX(0,E60-F39)</f>
        <v>0</v>
      </c>
      <c r="G102" s="73" t="n">
        <f aca="false">MAX(0,G60-G39)-MAX(0,F60-G39)</f>
        <v>0</v>
      </c>
      <c r="H102" s="73" t="n">
        <f aca="false">MAX(0,H60-H39)</f>
        <v>0</v>
      </c>
      <c r="I102" s="73" t="n">
        <f aca="false">MAX(0,I60-I39)-MAX(0,H60-I39)</f>
        <v>0</v>
      </c>
      <c r="J102" s="73" t="n">
        <f aca="false">MAX(0,J60-J39)-MAX(0,I60-J39)</f>
        <v>0</v>
      </c>
      <c r="K102" s="73" t="n">
        <f aca="false">MAX(0,K60-K39)-MAX(0,J60-K39)</f>
        <v>0</v>
      </c>
      <c r="L102" s="73" t="n">
        <f aca="false">MAX(0,L60-L39)-MAX(0,K60-L39)</f>
        <v>0</v>
      </c>
      <c r="M102" s="73" t="n">
        <f aca="false">MAX(0,M60-M39)-MAX(0,L60-M39)</f>
        <v>0</v>
      </c>
      <c r="N102" s="73" t="n">
        <f aca="false">MAX(0,N60-N39)-MAX(0,M60-N39)</f>
        <v>0</v>
      </c>
      <c r="O102" s="73" t="n">
        <f aca="false">MAX(0,O60-O39)-MAX(0,N60-O39)</f>
        <v>0</v>
      </c>
      <c r="P102" s="73" t="n">
        <f aca="false">MAX(0,P60-P39)-MAX(0,O60-P39)</f>
        <v>0</v>
      </c>
      <c r="Q102" s="73" t="n">
        <f aca="false">MAX(0,Q60-Q39)-MAX(0,P60-Q39)</f>
        <v>11412.9547492489</v>
      </c>
      <c r="R102" s="73" t="n">
        <f aca="false">MAX(0,R60-R39)-MAX(0,Q60-R39)</f>
        <v>20514.1476897342</v>
      </c>
      <c r="S102" s="73" t="n">
        <f aca="false">MAX(0,S60-S39)-MAX(0,R60-S39)</f>
        <v>20944.9447912186</v>
      </c>
      <c r="T102" s="73" t="n">
        <f aca="false">MAX(0,T60-T39)</f>
        <v>0</v>
      </c>
      <c r="U102" s="73" t="n">
        <f aca="false">MAX(0,U60-U39)-MAX(0,T60-U39)</f>
        <v>0</v>
      </c>
      <c r="V102" s="73" t="n">
        <f aca="false">MAX(0,V60-V39)-MAX(0,U60-V39)</f>
        <v>0</v>
      </c>
      <c r="W102" s="73" t="n">
        <f aca="false">MAX(0,W60-W39)-MAX(0,V60-W39)</f>
        <v>0</v>
      </c>
      <c r="X102" s="73" t="n">
        <f aca="false">MAX(0,X60-X39)-MAX(0,W60-X39)</f>
        <v>0</v>
      </c>
      <c r="Y102" s="73" t="n">
        <f aca="false">MAX(0,Y60-Y39)-MAX(0,X60-Y39)</f>
        <v>0</v>
      </c>
      <c r="Z102" s="73" t="n">
        <f aca="false">MAX(0,Z60-Z39)-MAX(0,Y60-Z39)</f>
        <v>0</v>
      </c>
      <c r="AA102" s="73" t="n">
        <f aca="false">MAX(0,AA60-AA39)-MAX(0,Z60-AA39)</f>
        <v>0</v>
      </c>
      <c r="AB102" s="73" t="n">
        <f aca="false">MAX(0,AB60-AB39)-MAX(0,AA60-AB39)</f>
        <v>0</v>
      </c>
    </row>
    <row r="103" customFormat="false" ht="15" hidden="false" customHeight="false" outlineLevel="0" collapsed="false">
      <c r="A103" s="28" t="s">
        <v>924</v>
      </c>
      <c r="B103" s="62"/>
      <c r="C103" s="64" t="n">
        <f aca="false">SUM(E103:P103)</f>
        <v>0</v>
      </c>
      <c r="D103" s="64" t="n">
        <f aca="false">SUM(Q103:AB103)</f>
        <v>21829.0464091852</v>
      </c>
      <c r="E103" s="65" t="n">
        <f aca="false">MAX(0,E61-E40)-MAX(0,Account_Register!$K$17-E40)</f>
        <v>0</v>
      </c>
      <c r="F103" s="73" t="n">
        <f aca="false">MAX(0,F61-F40)-MAX(0,E61-F40)</f>
        <v>0</v>
      </c>
      <c r="G103" s="73" t="n">
        <f aca="false">MAX(0,G61-G40)-MAX(0,F61-G40)</f>
        <v>0</v>
      </c>
      <c r="H103" s="73" t="n">
        <f aca="false">MAX(0,H61-H40)-MAX(0,G61-H40)</f>
        <v>0</v>
      </c>
      <c r="I103" s="73" t="n">
        <f aca="false">MAX(0,I61-I40)-MAX(0,H61-I40)</f>
        <v>0</v>
      </c>
      <c r="J103" s="73" t="n">
        <f aca="false">MAX(0,J61-J40)</f>
        <v>0</v>
      </c>
      <c r="K103" s="73" t="n">
        <f aca="false">MAX(0,K61-K40)-MAX(0,J61-K40)</f>
        <v>0</v>
      </c>
      <c r="L103" s="73" t="n">
        <f aca="false">MAX(0,L61-L40)-MAX(0,K61-L40)</f>
        <v>0</v>
      </c>
      <c r="M103" s="73" t="n">
        <f aca="false">MAX(0,M61-M40)-MAX(0,L61-M40)</f>
        <v>0</v>
      </c>
      <c r="N103" s="73" t="n">
        <f aca="false">MAX(0,N61-N40)-MAX(0,M61-N40)</f>
        <v>0</v>
      </c>
      <c r="O103" s="73" t="n">
        <f aca="false">MAX(0,O61-O40)-MAX(0,N61-O40)</f>
        <v>0</v>
      </c>
      <c r="P103" s="73" t="n">
        <f aca="false">MAX(0,P61-P40)-MAX(0,O61-P40)</f>
        <v>0</v>
      </c>
      <c r="Q103" s="73" t="n">
        <f aca="false">MAX(0,Q61-Q40)-MAX(0,P61-Q40)</f>
        <v>0</v>
      </c>
      <c r="R103" s="73" t="n">
        <f aca="false">MAX(0,R61-R40)-MAX(0,Q61-R40)</f>
        <v>0</v>
      </c>
      <c r="S103" s="73" t="n">
        <f aca="false">MAX(0,S61-S40)-MAX(0,R61-S40)</f>
        <v>0</v>
      </c>
      <c r="T103" s="73" t="n">
        <f aca="false">MAX(0,T61-T40)-MAX(0,S61-T40)</f>
        <v>7491.84353841681</v>
      </c>
      <c r="U103" s="73" t="n">
        <f aca="false">MAX(0,U61-U40)-MAX(0,T61-U40)</f>
        <v>14337.2028707684</v>
      </c>
      <c r="V103" s="73" t="n">
        <f aca="false">MAX(0,V61-V40)</f>
        <v>0</v>
      </c>
      <c r="W103" s="73" t="n">
        <f aca="false">MAX(0,W61-W40)-MAX(0,V61-W40)</f>
        <v>0</v>
      </c>
      <c r="X103" s="73" t="n">
        <f aca="false">MAX(0,X61-X40)-MAX(0,W61-X40)</f>
        <v>0</v>
      </c>
      <c r="Y103" s="73" t="n">
        <f aca="false">MAX(0,Y61-Y40)-MAX(0,X61-Y40)</f>
        <v>0</v>
      </c>
      <c r="Z103" s="73" t="n">
        <f aca="false">MAX(0,Z61-Z40)-MAX(0,Y61-Z40)</f>
        <v>0</v>
      </c>
      <c r="AA103" s="73" t="n">
        <f aca="false">MAX(0,AA61-AA40)-MAX(0,Z61-AA40)</f>
        <v>0</v>
      </c>
      <c r="AB103" s="73" t="n">
        <f aca="false">MAX(0,AB61-AB40)-MAX(0,AA61-AB40)</f>
        <v>0</v>
      </c>
    </row>
    <row r="104" customFormat="false" ht="15" hidden="false" customHeight="false" outlineLevel="0" collapsed="false">
      <c r="A104" s="28" t="s">
        <v>925</v>
      </c>
      <c r="B104" s="62"/>
      <c r="C104" s="64" t="n">
        <f aca="false">SUM(E104:P104)</f>
        <v>0</v>
      </c>
      <c r="D104" s="64" t="n">
        <f aca="false">SUM(Q104:AB104)</f>
        <v>4352.31822562657</v>
      </c>
      <c r="E104" s="65" t="n">
        <f aca="false">MAX(0,E62-E41)-MAX(0,Account_Register!$K$18-E41)</f>
        <v>0</v>
      </c>
      <c r="F104" s="73" t="n">
        <f aca="false">MAX(0,F62-F41)-MAX(0,E62-F41)</f>
        <v>0</v>
      </c>
      <c r="G104" s="73" t="n">
        <f aca="false">MAX(0,G62-G41)-MAX(0,F62-G41)</f>
        <v>0</v>
      </c>
      <c r="H104" s="73" t="n">
        <f aca="false">MAX(0,H62-H41)-MAX(0,G62-H41)</f>
        <v>0</v>
      </c>
      <c r="I104" s="73" t="n">
        <f aca="false">MAX(0,I62-I41)-MAX(0,H62-I41)</f>
        <v>0</v>
      </c>
      <c r="J104" s="73" t="n">
        <f aca="false">MAX(0,J62-J41)-MAX(0,I62-J41)</f>
        <v>0</v>
      </c>
      <c r="K104" s="73" t="n">
        <f aca="false">MAX(0,K62-K41)-MAX(0,J62-K41)</f>
        <v>0</v>
      </c>
      <c r="L104" s="73" t="n">
        <f aca="false">MAX(0,L62-L41)</f>
        <v>0</v>
      </c>
      <c r="M104" s="73" t="n">
        <f aca="false">MAX(0,M62-M41)-MAX(0,L62-M41)</f>
        <v>0</v>
      </c>
      <c r="N104" s="73" t="n">
        <f aca="false">MAX(0,N62-N41)-MAX(0,M62-N41)</f>
        <v>0</v>
      </c>
      <c r="O104" s="73" t="n">
        <f aca="false">MAX(0,O62-O41)-MAX(0,N62-O41)</f>
        <v>0</v>
      </c>
      <c r="P104" s="73" t="n">
        <f aca="false">MAX(0,P62-P41)-MAX(0,O62-P41)</f>
        <v>0</v>
      </c>
      <c r="Q104" s="73" t="n">
        <f aca="false">MAX(0,Q62-Q41)-MAX(0,P62-Q41)</f>
        <v>0</v>
      </c>
      <c r="R104" s="73" t="n">
        <f aca="false">MAX(0,R62-R41)-MAX(0,Q62-R41)</f>
        <v>0</v>
      </c>
      <c r="S104" s="73" t="n">
        <f aca="false">MAX(0,S62-S41)-MAX(0,R62-S41)</f>
        <v>0</v>
      </c>
      <c r="T104" s="73" t="n">
        <f aca="false">MAX(0,T62-T41)-MAX(0,S62-T41)</f>
        <v>0</v>
      </c>
      <c r="U104" s="73" t="n">
        <f aca="false">MAX(0,U62-U41)-MAX(0,T62-U41)</f>
        <v>0</v>
      </c>
      <c r="V104" s="73" t="n">
        <f aca="false">MAX(0,V62-V41)-MAX(0,U62-V41)</f>
        <v>0</v>
      </c>
      <c r="W104" s="73" t="n">
        <f aca="false">MAX(0,W62-W41)-MAX(0,V62-W41)</f>
        <v>4352.31822562657</v>
      </c>
      <c r="X104" s="73" t="n">
        <f aca="false">MAX(0,X62-X41)</f>
        <v>0</v>
      </c>
      <c r="Y104" s="73" t="n">
        <f aca="false">MAX(0,Y62-Y41)-MAX(0,X62-Y41)</f>
        <v>0</v>
      </c>
      <c r="Z104" s="73" t="n">
        <f aca="false">MAX(0,Z62-Z41)-MAX(0,Y62-Z41)</f>
        <v>0</v>
      </c>
      <c r="AA104" s="73" t="n">
        <f aca="false">MAX(0,AA62-AA41)-MAX(0,Z62-AA41)</f>
        <v>0</v>
      </c>
      <c r="AB104" s="73" t="n">
        <f aca="false">MAX(0,AB62-AB41)-MAX(0,AA62-AB41)</f>
        <v>0</v>
      </c>
    </row>
    <row r="105" customFormat="false" ht="15" hidden="false" customHeight="false" outlineLevel="0" collapsed="false">
      <c r="A105" s="28" t="s">
        <v>926</v>
      </c>
      <c r="B105" s="62"/>
      <c r="C105" s="64" t="n">
        <f aca="false">SUM(E105:P105)</f>
        <v>0</v>
      </c>
      <c r="D105" s="64" t="n">
        <f aca="false">SUM(Q105:AB105)</f>
        <v>0</v>
      </c>
      <c r="E105" s="65" t="n">
        <f aca="false">MAX(0,E63-E42)-MAX(0,Account_Register!$K$19-E42)</f>
        <v>0</v>
      </c>
      <c r="F105" s="73" t="n">
        <f aca="false">MAX(0,F63-F42)-MAX(0,E63-F42)</f>
        <v>0</v>
      </c>
      <c r="G105" s="73" t="n">
        <f aca="false">MAX(0,G63-G42)-MAX(0,F63-G42)</f>
        <v>0</v>
      </c>
      <c r="H105" s="73" t="n">
        <f aca="false">MAX(0,H63-H42)-MAX(0,G63-H42)</f>
        <v>0</v>
      </c>
      <c r="I105" s="73" t="n">
        <f aca="false">MAX(0,I63-I42)-MAX(0,H63-I42)</f>
        <v>0</v>
      </c>
      <c r="J105" s="73" t="n">
        <f aca="false">MAX(0,J63-J42)-MAX(0,I63-J42)</f>
        <v>0</v>
      </c>
      <c r="K105" s="73" t="n">
        <f aca="false">MAX(0,K63-K42)-MAX(0,J63-K42)</f>
        <v>0</v>
      </c>
      <c r="L105" s="73" t="n">
        <f aca="false">MAX(0,L63-L42)-MAX(0,K63-L42)</f>
        <v>0</v>
      </c>
      <c r="M105" s="73" t="n">
        <f aca="false">MAX(0,M63-M42)-MAX(0,L63-M42)</f>
        <v>0</v>
      </c>
      <c r="N105" s="73" t="n">
        <f aca="false">MAX(0,N63-N42)</f>
        <v>0</v>
      </c>
      <c r="O105" s="73" t="n">
        <f aca="false">MAX(0,O63-O42)-MAX(0,N63-O42)</f>
        <v>0</v>
      </c>
      <c r="P105" s="73" t="n">
        <f aca="false">MAX(0,P63-P42)-MAX(0,O63-P42)</f>
        <v>0</v>
      </c>
      <c r="Q105" s="73" t="n">
        <f aca="false">MAX(0,Q63-Q42)-MAX(0,P63-Q42)</f>
        <v>0</v>
      </c>
      <c r="R105" s="73" t="n">
        <f aca="false">MAX(0,R63-R42)-MAX(0,Q63-R42)</f>
        <v>0</v>
      </c>
      <c r="S105" s="73" t="n">
        <f aca="false">MAX(0,S63-S42)-MAX(0,R63-S42)</f>
        <v>0</v>
      </c>
      <c r="T105" s="73" t="n">
        <f aca="false">MAX(0,T63-T42)-MAX(0,S63-T42)</f>
        <v>0</v>
      </c>
      <c r="U105" s="73" t="n">
        <f aca="false">MAX(0,U63-U42)-MAX(0,T63-U42)</f>
        <v>0</v>
      </c>
      <c r="V105" s="73" t="n">
        <f aca="false">MAX(0,V63-V42)-MAX(0,U63-V42)</f>
        <v>0</v>
      </c>
      <c r="W105" s="73" t="n">
        <f aca="false">MAX(0,W63-W42)-MAX(0,V63-W42)</f>
        <v>0</v>
      </c>
      <c r="X105" s="73" t="n">
        <f aca="false">MAX(0,X63-X42)-MAX(0,W63-X42)</f>
        <v>0</v>
      </c>
      <c r="Y105" s="73" t="n">
        <f aca="false">MAX(0,Y63-Y42)-MAX(0,X63-Y42)</f>
        <v>0</v>
      </c>
      <c r="Z105" s="73" t="n">
        <f aca="false">MAX(0,Z63-Z42)</f>
        <v>0</v>
      </c>
      <c r="AA105" s="73" t="n">
        <f aca="false">MAX(0,AA63-AA42)-MAX(0,Z63-AA42)</f>
        <v>0</v>
      </c>
      <c r="AB105" s="73" t="n">
        <f aca="false">MAX(0,AB63-AB42)-MAX(0,AA63-AB42)</f>
        <v>0</v>
      </c>
    </row>
    <row r="106" customFormat="false" ht="15" hidden="false" customHeight="false" outlineLevel="0" collapsed="false">
      <c r="A106" s="28" t="s">
        <v>927</v>
      </c>
      <c r="B106" s="62"/>
      <c r="C106" s="64" t="n">
        <f aca="false">SUM(E106:P106)</f>
        <v>0</v>
      </c>
      <c r="D106" s="64" t="n">
        <f aca="false">SUM(Q106:AB106)</f>
        <v>0</v>
      </c>
      <c r="E106" s="73" t="n">
        <f aca="false">0</f>
        <v>0</v>
      </c>
      <c r="F106" s="73" t="n">
        <f aca="false">0</f>
        <v>0</v>
      </c>
      <c r="G106" s="73" t="n">
        <f aca="false">0</f>
        <v>0</v>
      </c>
      <c r="H106" s="73" t="n">
        <f aca="false">MAX(0,H64-H43)</f>
        <v>0</v>
      </c>
      <c r="I106" s="73" t="n">
        <f aca="false">MAX(0,I64-I43)-MAX(0,H64-I43)</f>
        <v>0</v>
      </c>
      <c r="J106" s="73" t="n">
        <f aca="false">MAX(0,J64-J43)-MAX(0,I64-J43)</f>
        <v>0</v>
      </c>
      <c r="K106" s="73" t="n">
        <f aca="false">MAX(0,K64-K43)-MAX(0,J64-K43)</f>
        <v>0</v>
      </c>
      <c r="L106" s="73" t="n">
        <f aca="false">MAX(0,L64-L43)-MAX(0,K64-L43)</f>
        <v>0</v>
      </c>
      <c r="M106" s="73" t="n">
        <f aca="false">MAX(0,M64-M43)-MAX(0,L64-M43)</f>
        <v>0</v>
      </c>
      <c r="N106" s="73" t="n">
        <f aca="false">MAX(0,N64-N43)-MAX(0,M64-N43)</f>
        <v>0</v>
      </c>
      <c r="O106" s="73" t="n">
        <f aca="false">MAX(0,O64-O43)-MAX(0,N64-O43)</f>
        <v>0</v>
      </c>
      <c r="P106" s="73" t="n">
        <f aca="false">MAX(0,P64-P43)-MAX(0,O64-P43)</f>
        <v>0</v>
      </c>
      <c r="Q106" s="73" t="n">
        <f aca="false">MAX(0,Q64-Q43)-MAX(0,P64-Q43)</f>
        <v>0</v>
      </c>
      <c r="R106" s="73" t="n">
        <f aca="false">MAX(0,R64-R43)-MAX(0,Q64-R43)</f>
        <v>0</v>
      </c>
      <c r="S106" s="73" t="n">
        <f aca="false">MAX(0,S64-S43)-MAX(0,R64-S43)</f>
        <v>0</v>
      </c>
      <c r="T106" s="73" t="n">
        <f aca="false">MAX(0,T64-T43)</f>
        <v>0</v>
      </c>
      <c r="U106" s="73" t="n">
        <f aca="false">MAX(0,U64-U43)-MAX(0,T64-U43)</f>
        <v>0</v>
      </c>
      <c r="V106" s="73" t="n">
        <f aca="false">MAX(0,V64-V43)-MAX(0,U64-V43)</f>
        <v>0</v>
      </c>
      <c r="W106" s="73" t="n">
        <f aca="false">MAX(0,W64-W43)-MAX(0,V64-W43)</f>
        <v>0</v>
      </c>
      <c r="X106" s="73" t="n">
        <f aca="false">MAX(0,X64-X43)-MAX(0,W64-X43)</f>
        <v>0</v>
      </c>
      <c r="Y106" s="73" t="n">
        <f aca="false">MAX(0,Y64-Y43)-MAX(0,X64-Y43)</f>
        <v>0</v>
      </c>
      <c r="Z106" s="73" t="n">
        <f aca="false">MAX(0,Z64-Z43)-MAX(0,Y64-Z43)</f>
        <v>0</v>
      </c>
      <c r="AA106" s="73" t="n">
        <f aca="false">MAX(0,AA64-AA43)-MAX(0,Z64-AA43)</f>
        <v>0</v>
      </c>
      <c r="AB106" s="73" t="n">
        <f aca="false">MAX(0,AB64-AB43)-MAX(0,AA64-AB43)</f>
        <v>0</v>
      </c>
    </row>
    <row r="107" customFormat="false" ht="15" hidden="false" customHeight="false" outlineLevel="0" collapsed="false">
      <c r="A107" s="28" t="s">
        <v>928</v>
      </c>
      <c r="B107" s="62"/>
      <c r="C107" s="64" t="n">
        <f aca="false">SUM(E107:P107)</f>
        <v>0</v>
      </c>
      <c r="D107" s="64" t="n">
        <f aca="false">SUM(Q107:AB107)</f>
        <v>0</v>
      </c>
      <c r="E107" s="73" t="n">
        <f aca="false">0</f>
        <v>0</v>
      </c>
      <c r="F107" s="73" t="n">
        <f aca="false">0</f>
        <v>0</v>
      </c>
      <c r="G107" s="73" t="n">
        <f aca="false">0</f>
        <v>0</v>
      </c>
      <c r="H107" s="73" t="n">
        <f aca="false">0</f>
        <v>0</v>
      </c>
      <c r="I107" s="73" t="n">
        <f aca="false">0</f>
        <v>0</v>
      </c>
      <c r="J107" s="73" t="n">
        <f aca="false">0</f>
        <v>0</v>
      </c>
      <c r="K107" s="73" t="n">
        <f aca="false">MAX(0,K65-K44)</f>
        <v>0</v>
      </c>
      <c r="L107" s="73" t="n">
        <f aca="false">MAX(0,L65-L44)-MAX(0,K65-L44)</f>
        <v>0</v>
      </c>
      <c r="M107" s="73" t="n">
        <f aca="false">MAX(0,M65-M44)-MAX(0,L65-M44)</f>
        <v>0</v>
      </c>
      <c r="N107" s="73" t="n">
        <f aca="false">MAX(0,N65-N44)-MAX(0,M65-N44)</f>
        <v>0</v>
      </c>
      <c r="O107" s="73" t="n">
        <f aca="false">MAX(0,O65-O44)-MAX(0,N65-O44)</f>
        <v>0</v>
      </c>
      <c r="P107" s="73" t="n">
        <f aca="false">MAX(0,P65-P44)-MAX(0,O65-P44)</f>
        <v>0</v>
      </c>
      <c r="Q107" s="73" t="n">
        <f aca="false">MAX(0,Q65-Q44)-MAX(0,P65-Q44)</f>
        <v>0</v>
      </c>
      <c r="R107" s="73" t="n">
        <f aca="false">MAX(0,R65-R44)-MAX(0,Q65-R44)</f>
        <v>0</v>
      </c>
      <c r="S107" s="73" t="n">
        <f aca="false">MAX(0,S65-S44)-MAX(0,R65-S44)</f>
        <v>0</v>
      </c>
      <c r="T107" s="73" t="n">
        <f aca="false">MAX(0,T65-T44)-MAX(0,S65-T44)</f>
        <v>0</v>
      </c>
      <c r="U107" s="73" t="n">
        <f aca="false">MAX(0,U65-U44)-MAX(0,T65-U44)</f>
        <v>0</v>
      </c>
      <c r="V107" s="73" t="n">
        <f aca="false">MAX(0,V65-V44)-MAX(0,U65-V44)</f>
        <v>0</v>
      </c>
      <c r="W107" s="73" t="n">
        <f aca="false">MAX(0,W65-W44)</f>
        <v>0</v>
      </c>
      <c r="X107" s="73" t="n">
        <f aca="false">MAX(0,X65-X44)-MAX(0,W65-X44)</f>
        <v>0</v>
      </c>
      <c r="Y107" s="73" t="n">
        <f aca="false">MAX(0,Y65-Y44)-MAX(0,X65-Y44)</f>
        <v>0</v>
      </c>
      <c r="Z107" s="73" t="n">
        <f aca="false">MAX(0,Z65-Z44)-MAX(0,Y65-Z44)</f>
        <v>0</v>
      </c>
      <c r="AA107" s="73" t="n">
        <f aca="false">MAX(0,AA65-AA44)-MAX(0,Z65-AA44)</f>
        <v>0</v>
      </c>
      <c r="AB107" s="73" t="n">
        <f aca="false">MAX(0,AB65-AB44)-MAX(0,AA65-AB44)</f>
        <v>0</v>
      </c>
    </row>
    <row r="108" customFormat="false" ht="15" hidden="false" customHeight="false" outlineLevel="0" collapsed="false">
      <c r="A108" s="28" t="s">
        <v>929</v>
      </c>
      <c r="B108" s="62"/>
      <c r="C108" s="64" t="n">
        <f aca="false">SUM(E108:P108)</f>
        <v>0</v>
      </c>
      <c r="D108" s="64" t="n">
        <f aca="false">SUM(Q108:AB108)</f>
        <v>0</v>
      </c>
      <c r="E108" s="65" t="n">
        <f aca="false">IF(Assumptions!E$204&lt;Account_Register!$W$22,0,MAX(0,E66-E45)-IF(MOD(Assumptions!E$204-Account_Register!$W$22,12)=0,0,MAX(0,0-E45)))</f>
        <v>0</v>
      </c>
      <c r="F108" s="65" t="n">
        <f aca="false">IF(Assumptions!F$204&lt;Account_Register!$W$22,0,MAX(0,F66-F45)-IF(MOD(Assumptions!F$204-Account_Register!$W$22,12)=0,0,MAX(0,E66-F45)))</f>
        <v>0</v>
      </c>
      <c r="G108" s="65" t="n">
        <f aca="false">IF(Assumptions!G$204&lt;Account_Register!$W$22,0,MAX(0,G66-G45)-IF(MOD(Assumptions!G$204-Account_Register!$W$22,12)=0,0,MAX(0,F66-G45)))</f>
        <v>0</v>
      </c>
      <c r="H108" s="65" t="n">
        <f aca="false">IF(Assumptions!H$204&lt;Account_Register!$W$22,0,MAX(0,H66-H45)-IF(MOD(Assumptions!H$204-Account_Register!$W$22,12)=0,0,MAX(0,G66-H45)))</f>
        <v>0</v>
      </c>
      <c r="I108" s="65" t="n">
        <f aca="false">IF(Assumptions!I$204&lt;Account_Register!$W$22,0,MAX(0,I66-I45)-IF(MOD(Assumptions!I$204-Account_Register!$W$22,12)=0,0,MAX(0,H66-I45)))</f>
        <v>0</v>
      </c>
      <c r="J108" s="65" t="n">
        <f aca="false">IF(Assumptions!J$204&lt;Account_Register!$W$22,0,MAX(0,J66-J45)-IF(MOD(Assumptions!J$204-Account_Register!$W$22,12)=0,0,MAX(0,I66-J45)))</f>
        <v>0</v>
      </c>
      <c r="K108" s="65" t="n">
        <f aca="false">IF(Assumptions!K$204&lt;Account_Register!$W$22,0,MAX(0,K66-K45)-IF(MOD(Assumptions!K$204-Account_Register!$W$22,12)=0,0,MAX(0,J66-K45)))</f>
        <v>0</v>
      </c>
      <c r="L108" s="65" t="n">
        <f aca="false">IF(Assumptions!L$204&lt;Account_Register!$W$22,0,MAX(0,L66-L45)-IF(MOD(Assumptions!L$204-Account_Register!$W$22,12)=0,0,MAX(0,K66-L45)))</f>
        <v>0</v>
      </c>
      <c r="M108" s="65" t="n">
        <f aca="false">IF(Assumptions!M$204&lt;Account_Register!$W$22,0,MAX(0,M66-M45)-IF(MOD(Assumptions!M$204-Account_Register!$W$22,12)=0,0,MAX(0,L66-M45)))</f>
        <v>0</v>
      </c>
      <c r="N108" s="65" t="n">
        <f aca="false">IF(Assumptions!N$204&lt;Account_Register!$W$22,0,MAX(0,N66-N45)-IF(MOD(Assumptions!N$204-Account_Register!$W$22,12)=0,0,MAX(0,M66-N45)))</f>
        <v>0</v>
      </c>
      <c r="O108" s="65" t="n">
        <f aca="false">IF(Assumptions!O$204&lt;Account_Register!$W$22,0,MAX(0,O66-O45)-IF(MOD(Assumptions!O$204-Account_Register!$W$22,12)=0,0,MAX(0,N66-O45)))</f>
        <v>0</v>
      </c>
      <c r="P108" s="65" t="n">
        <f aca="false">IF(Assumptions!P$204&lt;Account_Register!$W$22,0,MAX(0,P66-P45)-IF(MOD(Assumptions!P$204-Account_Register!$W$22,12)=0,0,MAX(0,O66-P45)))</f>
        <v>0</v>
      </c>
      <c r="Q108" s="65" t="n">
        <f aca="false">IF(Assumptions!Q$204&lt;Account_Register!$W$22,0,MAX(0,Q66-Q45)-IF(MOD(Assumptions!Q$204-Account_Register!$W$22,12)=0,0,MAX(0,P66-Q45)))</f>
        <v>0</v>
      </c>
      <c r="R108" s="65" t="n">
        <f aca="false">IF(Assumptions!R$204&lt;Account_Register!$W$22,0,MAX(0,R66-R45)-IF(MOD(Assumptions!R$204-Account_Register!$W$22,12)=0,0,MAX(0,Q66-R45)))</f>
        <v>0</v>
      </c>
      <c r="S108" s="65" t="n">
        <f aca="false">IF(Assumptions!S$204&lt;Account_Register!$W$22,0,MAX(0,S66-S45)-IF(MOD(Assumptions!S$204-Account_Register!$W$22,12)=0,0,MAX(0,R66-S45)))</f>
        <v>0</v>
      </c>
      <c r="T108" s="65" t="n">
        <f aca="false">IF(Assumptions!T$204&lt;Account_Register!$W$22,0,MAX(0,T66-T45)-IF(MOD(Assumptions!T$204-Account_Register!$W$22,12)=0,0,MAX(0,S66-T45)))</f>
        <v>0</v>
      </c>
      <c r="U108" s="65" t="n">
        <f aca="false">IF(Assumptions!U$204&lt;Account_Register!$W$22,0,MAX(0,U66-U45)-IF(MOD(Assumptions!U$204-Account_Register!$W$22,12)=0,0,MAX(0,T66-U45)))</f>
        <v>0</v>
      </c>
      <c r="V108" s="65" t="n">
        <f aca="false">IF(Assumptions!V$204&lt;Account_Register!$W$22,0,MAX(0,V66-V45)-IF(MOD(Assumptions!V$204-Account_Register!$W$22,12)=0,0,MAX(0,U66-V45)))</f>
        <v>0</v>
      </c>
      <c r="W108" s="65" t="n">
        <f aca="false">IF(Assumptions!W$204&lt;Account_Register!$W$22,0,MAX(0,W66-W45)-IF(MOD(Assumptions!W$204-Account_Register!$W$22,12)=0,0,MAX(0,V66-W45)))</f>
        <v>0</v>
      </c>
      <c r="X108" s="65" t="n">
        <f aca="false">IF(Assumptions!X$204&lt;Account_Register!$W$22,0,MAX(0,X66-X45)-IF(MOD(Assumptions!X$204-Account_Register!$W$22,12)=0,0,MAX(0,W66-X45)))</f>
        <v>0</v>
      </c>
      <c r="Y108" s="65" t="n">
        <f aca="false">IF(Assumptions!Y$204&lt;Account_Register!$W$22,0,MAX(0,Y66-Y45)-IF(MOD(Assumptions!Y$204-Account_Register!$W$22,12)=0,0,MAX(0,X66-Y45)))</f>
        <v>0</v>
      </c>
      <c r="Z108" s="65" t="n">
        <f aca="false">IF(Assumptions!Z$204&lt;Account_Register!$W$22,0,MAX(0,Z66-Z45)-IF(MOD(Assumptions!Z$204-Account_Register!$W$22,12)=0,0,MAX(0,Y66-Z45)))</f>
        <v>0</v>
      </c>
      <c r="AA108" s="65" t="n">
        <f aca="false">IF(Assumptions!AA$204&lt;Account_Register!$W$22,0,MAX(0,AA66-AA45)-IF(MOD(Assumptions!AA$204-Account_Register!$W$22,12)=0,0,MAX(0,Z66-AA45)))</f>
        <v>0</v>
      </c>
      <c r="AB108" s="65" t="n">
        <f aca="false">IF(Assumptions!AB$204&lt;Account_Register!$W$22,0,MAX(0,AB66-AB45)-IF(MOD(Assumptions!AB$204-Account_Register!$W$22,12)=0,0,MAX(0,AA66-AB45)))</f>
        <v>0</v>
      </c>
    </row>
    <row r="109" customFormat="false" ht="15" hidden="false" customHeight="false" outlineLevel="0" collapsed="false">
      <c r="A109" s="28" t="s">
        <v>930</v>
      </c>
      <c r="B109" s="62"/>
      <c r="C109" s="64" t="n">
        <f aca="false">SUM(E109:P109)</f>
        <v>0</v>
      </c>
      <c r="D109" s="64" t="n">
        <f aca="false">SUM(Q109:AB109)</f>
        <v>0</v>
      </c>
      <c r="E109" s="65" t="n">
        <f aca="false">IF(Assumptions!E$204&lt;Account_Register!$W$23,0,MAX(0,E67-E46)-IF(MOD(Assumptions!E$204-Account_Register!$W$23,12)=0,0,MAX(0,0-E46)))</f>
        <v>0</v>
      </c>
      <c r="F109" s="65" t="n">
        <f aca="false">IF(Assumptions!F$204&lt;Account_Register!$W$23,0,MAX(0,F67-F46)-IF(MOD(Assumptions!F$204-Account_Register!$W$23,12)=0,0,MAX(0,E67-F46)))</f>
        <v>0</v>
      </c>
      <c r="G109" s="65" t="n">
        <f aca="false">IF(Assumptions!G$204&lt;Account_Register!$W$23,0,MAX(0,G67-G46)-IF(MOD(Assumptions!G$204-Account_Register!$W$23,12)=0,0,MAX(0,F67-G46)))</f>
        <v>0</v>
      </c>
      <c r="H109" s="65" t="n">
        <f aca="false">IF(Assumptions!H$204&lt;Account_Register!$W$23,0,MAX(0,H67-H46)-IF(MOD(Assumptions!H$204-Account_Register!$W$23,12)=0,0,MAX(0,G67-H46)))</f>
        <v>0</v>
      </c>
      <c r="I109" s="65" t="n">
        <f aca="false">IF(Assumptions!I$204&lt;Account_Register!$W$23,0,MAX(0,I67-I46)-IF(MOD(Assumptions!I$204-Account_Register!$W$23,12)=0,0,MAX(0,H67-I46)))</f>
        <v>0</v>
      </c>
      <c r="J109" s="65" t="n">
        <f aca="false">IF(Assumptions!J$204&lt;Account_Register!$W$23,0,MAX(0,J67-J46)-IF(MOD(Assumptions!J$204-Account_Register!$W$23,12)=0,0,MAX(0,I67-J46)))</f>
        <v>0</v>
      </c>
      <c r="K109" s="65" t="n">
        <f aca="false">IF(Assumptions!K$204&lt;Account_Register!$W$23,0,MAX(0,K67-K46)-IF(MOD(Assumptions!K$204-Account_Register!$W$23,12)=0,0,MAX(0,J67-K46)))</f>
        <v>0</v>
      </c>
      <c r="L109" s="65" t="n">
        <f aca="false">IF(Assumptions!L$204&lt;Account_Register!$W$23,0,MAX(0,L67-L46)-IF(MOD(Assumptions!L$204-Account_Register!$W$23,12)=0,0,MAX(0,K67-L46)))</f>
        <v>0</v>
      </c>
      <c r="M109" s="65" t="n">
        <f aca="false">IF(Assumptions!M$204&lt;Account_Register!$W$23,0,MAX(0,M67-M46)-IF(MOD(Assumptions!M$204-Account_Register!$W$23,12)=0,0,MAX(0,L67-M46)))</f>
        <v>0</v>
      </c>
      <c r="N109" s="65" t="n">
        <f aca="false">IF(Assumptions!N$204&lt;Account_Register!$W$23,0,MAX(0,N67-N46)-IF(MOD(Assumptions!N$204-Account_Register!$W$23,12)=0,0,MAX(0,M67-N46)))</f>
        <v>0</v>
      </c>
      <c r="O109" s="65" t="n">
        <f aca="false">IF(Assumptions!O$204&lt;Account_Register!$W$23,0,MAX(0,O67-O46)-IF(MOD(Assumptions!O$204-Account_Register!$W$23,12)=0,0,MAX(0,N67-O46)))</f>
        <v>0</v>
      </c>
      <c r="P109" s="65" t="n">
        <f aca="false">IF(Assumptions!P$204&lt;Account_Register!$W$23,0,MAX(0,P67-P46)-IF(MOD(Assumptions!P$204-Account_Register!$W$23,12)=0,0,MAX(0,O67-P46)))</f>
        <v>0</v>
      </c>
      <c r="Q109" s="65" t="n">
        <f aca="false">IF(Assumptions!Q$204&lt;Account_Register!$W$23,0,MAX(0,Q67-Q46)-IF(MOD(Assumptions!Q$204-Account_Register!$W$23,12)=0,0,MAX(0,P67-Q46)))</f>
        <v>0</v>
      </c>
      <c r="R109" s="65" t="n">
        <f aca="false">IF(Assumptions!R$204&lt;Account_Register!$W$23,0,MAX(0,R67-R46)-IF(MOD(Assumptions!R$204-Account_Register!$W$23,12)=0,0,MAX(0,Q67-R46)))</f>
        <v>0</v>
      </c>
      <c r="S109" s="65" t="n">
        <f aca="false">IF(Assumptions!S$204&lt;Account_Register!$W$23,0,MAX(0,S67-S46)-IF(MOD(Assumptions!S$204-Account_Register!$W$23,12)=0,0,MAX(0,R67-S46)))</f>
        <v>0</v>
      </c>
      <c r="T109" s="65" t="n">
        <f aca="false">IF(Assumptions!T$204&lt;Account_Register!$W$23,0,MAX(0,T67-T46)-IF(MOD(Assumptions!T$204-Account_Register!$W$23,12)=0,0,MAX(0,S67-T46)))</f>
        <v>0</v>
      </c>
      <c r="U109" s="65" t="n">
        <f aca="false">IF(Assumptions!U$204&lt;Account_Register!$W$23,0,MAX(0,U67-U46)-IF(MOD(Assumptions!U$204-Account_Register!$W$23,12)=0,0,MAX(0,T67-U46)))</f>
        <v>0</v>
      </c>
      <c r="V109" s="65" t="n">
        <f aca="false">IF(Assumptions!V$204&lt;Account_Register!$W$23,0,MAX(0,V67-V46)-IF(MOD(Assumptions!V$204-Account_Register!$W$23,12)=0,0,MAX(0,U67-V46)))</f>
        <v>0</v>
      </c>
      <c r="W109" s="65" t="n">
        <f aca="false">IF(Assumptions!W$204&lt;Account_Register!$W$23,0,MAX(0,W67-W46)-IF(MOD(Assumptions!W$204-Account_Register!$W$23,12)=0,0,MAX(0,V67-W46)))</f>
        <v>0</v>
      </c>
      <c r="X109" s="65" t="n">
        <f aca="false">IF(Assumptions!X$204&lt;Account_Register!$W$23,0,MAX(0,X67-X46)-IF(MOD(Assumptions!X$204-Account_Register!$W$23,12)=0,0,MAX(0,W67-X46)))</f>
        <v>0</v>
      </c>
      <c r="Y109" s="65" t="n">
        <f aca="false">IF(Assumptions!Y$204&lt;Account_Register!$W$23,0,MAX(0,Y67-Y46)-IF(MOD(Assumptions!Y$204-Account_Register!$W$23,12)=0,0,MAX(0,X67-Y46)))</f>
        <v>0</v>
      </c>
      <c r="Z109" s="65" t="n">
        <f aca="false">IF(Assumptions!Z$204&lt;Account_Register!$W$23,0,MAX(0,Z67-Z46)-IF(MOD(Assumptions!Z$204-Account_Register!$W$23,12)=0,0,MAX(0,Y67-Z46)))</f>
        <v>0</v>
      </c>
      <c r="AA109" s="65" t="n">
        <f aca="false">IF(Assumptions!AA$204&lt;Account_Register!$W$23,0,MAX(0,AA67-AA46)-IF(MOD(Assumptions!AA$204-Account_Register!$W$23,12)=0,0,MAX(0,Z67-AA46)))</f>
        <v>0</v>
      </c>
      <c r="AB109" s="65" t="n">
        <f aca="false">IF(Assumptions!AB$204&lt;Account_Register!$W$23,0,MAX(0,AB67-AB46)-IF(MOD(Assumptions!AB$204-Account_Register!$W$23,12)=0,0,MAX(0,AA67-AB46)))</f>
        <v>0</v>
      </c>
    </row>
    <row r="110" customFormat="false" ht="15" hidden="false" customHeight="false" outlineLevel="0" collapsed="false">
      <c r="A110" s="28" t="s">
        <v>931</v>
      </c>
      <c r="B110" s="62"/>
      <c r="C110" s="64" t="n">
        <f aca="false">SUM(E110:P110)</f>
        <v>0</v>
      </c>
      <c r="D110" s="64" t="n">
        <f aca="false">SUM(Q110:AB110)</f>
        <v>0</v>
      </c>
      <c r="E110" s="65" t="n">
        <f aca="false">IF(Assumptions!E$204&lt;Account_Register!$W$24,0,MAX(0,E68-E47)-IF(MOD(Assumptions!E$204-Account_Register!$W$24,12)=0,0,MAX(0,0-E47)))</f>
        <v>0</v>
      </c>
      <c r="F110" s="65" t="n">
        <f aca="false">IF(Assumptions!F$204&lt;Account_Register!$W$24,0,MAX(0,F68-F47)-IF(MOD(Assumptions!F$204-Account_Register!$W$24,12)=0,0,MAX(0,E68-F47)))</f>
        <v>0</v>
      </c>
      <c r="G110" s="65" t="n">
        <f aca="false">IF(Assumptions!G$204&lt;Account_Register!$W$24,0,MAX(0,G68-G47)-IF(MOD(Assumptions!G$204-Account_Register!$W$24,12)=0,0,MAX(0,F68-G47)))</f>
        <v>0</v>
      </c>
      <c r="H110" s="65" t="n">
        <f aca="false">IF(Assumptions!H$204&lt;Account_Register!$W$24,0,MAX(0,H68-H47)-IF(MOD(Assumptions!H$204-Account_Register!$W$24,12)=0,0,MAX(0,G68-H47)))</f>
        <v>0</v>
      </c>
      <c r="I110" s="65" t="n">
        <f aca="false">IF(Assumptions!I$204&lt;Account_Register!$W$24,0,MAX(0,I68-I47)-IF(MOD(Assumptions!I$204-Account_Register!$W$24,12)=0,0,MAX(0,H68-I47)))</f>
        <v>0</v>
      </c>
      <c r="J110" s="65" t="n">
        <f aca="false">IF(Assumptions!J$204&lt;Account_Register!$W$24,0,MAX(0,J68-J47)-IF(MOD(Assumptions!J$204-Account_Register!$W$24,12)=0,0,MAX(0,I68-J47)))</f>
        <v>0</v>
      </c>
      <c r="K110" s="65" t="n">
        <f aca="false">IF(Assumptions!K$204&lt;Account_Register!$W$24,0,MAX(0,K68-K47)-IF(MOD(Assumptions!K$204-Account_Register!$W$24,12)=0,0,MAX(0,J68-K47)))</f>
        <v>0</v>
      </c>
      <c r="L110" s="65" t="n">
        <f aca="false">IF(Assumptions!L$204&lt;Account_Register!$W$24,0,MAX(0,L68-L47)-IF(MOD(Assumptions!L$204-Account_Register!$W$24,12)=0,0,MAX(0,K68-L47)))</f>
        <v>0</v>
      </c>
      <c r="M110" s="65" t="n">
        <f aca="false">IF(Assumptions!M$204&lt;Account_Register!$W$24,0,MAX(0,M68-M47)-IF(MOD(Assumptions!M$204-Account_Register!$W$24,12)=0,0,MAX(0,L68-M47)))</f>
        <v>0</v>
      </c>
      <c r="N110" s="65" t="n">
        <f aca="false">IF(Assumptions!N$204&lt;Account_Register!$W$24,0,MAX(0,N68-N47)-IF(MOD(Assumptions!N$204-Account_Register!$W$24,12)=0,0,MAX(0,M68-N47)))</f>
        <v>0</v>
      </c>
      <c r="O110" s="65" t="n">
        <f aca="false">IF(Assumptions!O$204&lt;Account_Register!$W$24,0,MAX(0,O68-O47)-IF(MOD(Assumptions!O$204-Account_Register!$W$24,12)=0,0,MAX(0,N68-O47)))</f>
        <v>0</v>
      </c>
      <c r="P110" s="65" t="n">
        <f aca="false">IF(Assumptions!P$204&lt;Account_Register!$W$24,0,MAX(0,P68-P47)-IF(MOD(Assumptions!P$204-Account_Register!$W$24,12)=0,0,MAX(0,O68-P47)))</f>
        <v>0</v>
      </c>
      <c r="Q110" s="65" t="n">
        <f aca="false">IF(Assumptions!Q$204&lt;Account_Register!$W$24,0,MAX(0,Q68-Q47)-IF(MOD(Assumptions!Q$204-Account_Register!$W$24,12)=0,0,MAX(0,P68-Q47)))</f>
        <v>0</v>
      </c>
      <c r="R110" s="65" t="n">
        <f aca="false">IF(Assumptions!R$204&lt;Account_Register!$W$24,0,MAX(0,R68-R47)-IF(MOD(Assumptions!R$204-Account_Register!$W$24,12)=0,0,MAX(0,Q68-R47)))</f>
        <v>0</v>
      </c>
      <c r="S110" s="65" t="n">
        <f aca="false">IF(Assumptions!S$204&lt;Account_Register!$W$24,0,MAX(0,S68-S47)-IF(MOD(Assumptions!S$204-Account_Register!$W$24,12)=0,0,MAX(0,R68-S47)))</f>
        <v>0</v>
      </c>
      <c r="T110" s="65" t="n">
        <f aca="false">IF(Assumptions!T$204&lt;Account_Register!$W$24,0,MAX(0,T68-T47)-IF(MOD(Assumptions!T$204-Account_Register!$W$24,12)=0,0,MAX(0,S68-T47)))</f>
        <v>0</v>
      </c>
      <c r="U110" s="65" t="n">
        <f aca="false">IF(Assumptions!U$204&lt;Account_Register!$W$24,0,MAX(0,U68-U47)-IF(MOD(Assumptions!U$204-Account_Register!$W$24,12)=0,0,MAX(0,T68-U47)))</f>
        <v>0</v>
      </c>
      <c r="V110" s="65" t="n">
        <f aca="false">IF(Assumptions!V$204&lt;Account_Register!$W$24,0,MAX(0,V68-V47)-IF(MOD(Assumptions!V$204-Account_Register!$W$24,12)=0,0,MAX(0,U68-V47)))</f>
        <v>0</v>
      </c>
      <c r="W110" s="65" t="n">
        <f aca="false">IF(Assumptions!W$204&lt;Account_Register!$W$24,0,MAX(0,W68-W47)-IF(MOD(Assumptions!W$204-Account_Register!$W$24,12)=0,0,MAX(0,V68-W47)))</f>
        <v>0</v>
      </c>
      <c r="X110" s="65" t="n">
        <f aca="false">IF(Assumptions!X$204&lt;Account_Register!$W$24,0,MAX(0,X68-X47)-IF(MOD(Assumptions!X$204-Account_Register!$W$24,12)=0,0,MAX(0,W68-X47)))</f>
        <v>0</v>
      </c>
      <c r="Y110" s="65" t="n">
        <f aca="false">IF(Assumptions!Y$204&lt;Account_Register!$W$24,0,MAX(0,Y68-Y47)-IF(MOD(Assumptions!Y$204-Account_Register!$W$24,12)=0,0,MAX(0,X68-Y47)))</f>
        <v>0</v>
      </c>
      <c r="Z110" s="65" t="n">
        <f aca="false">IF(Assumptions!Z$204&lt;Account_Register!$W$24,0,MAX(0,Z68-Z47)-IF(MOD(Assumptions!Z$204-Account_Register!$W$24,12)=0,0,MAX(0,Y68-Z47)))</f>
        <v>0</v>
      </c>
      <c r="AA110" s="65" t="n">
        <f aca="false">IF(Assumptions!AA$204&lt;Account_Register!$W$24,0,MAX(0,AA68-AA47)-IF(MOD(Assumptions!AA$204-Account_Register!$W$24,12)=0,0,MAX(0,Z68-AA47)))</f>
        <v>0</v>
      </c>
      <c r="AB110" s="65" t="n">
        <f aca="false">IF(Assumptions!AB$204&lt;Account_Register!$W$24,0,MAX(0,AB68-AB47)-IF(MOD(Assumptions!AB$204-Account_Register!$W$24,12)=0,0,MAX(0,AA68-AB47)))</f>
        <v>0</v>
      </c>
    </row>
    <row r="111" customFormat="false" ht="15" hidden="false" customHeight="false" outlineLevel="0" collapsed="false">
      <c r="A111" s="28" t="s">
        <v>932</v>
      </c>
      <c r="B111" s="62"/>
      <c r="C111" s="64" t="n">
        <f aca="false">SUM(E111:P111)</f>
        <v>0</v>
      </c>
      <c r="D111" s="64" t="n">
        <f aca="false">SUM(Q111:AB111)</f>
        <v>0</v>
      </c>
      <c r="E111" s="65" t="n">
        <f aca="false">IF(Assumptions!E$204&lt;Account_Register!$W$25,0,MAX(0,E69-E48)-IF(MOD(Assumptions!E$204-Account_Register!$W$25,12)=0,0,MAX(0,0-E48)))</f>
        <v>0</v>
      </c>
      <c r="F111" s="65" t="n">
        <f aca="false">IF(Assumptions!F$204&lt;Account_Register!$W$25,0,MAX(0,F69-F48)-IF(MOD(Assumptions!F$204-Account_Register!$W$25,12)=0,0,MAX(0,E69-F48)))</f>
        <v>0</v>
      </c>
      <c r="G111" s="65" t="n">
        <f aca="false">IF(Assumptions!G$204&lt;Account_Register!$W$25,0,MAX(0,G69-G48)-IF(MOD(Assumptions!G$204-Account_Register!$W$25,12)=0,0,MAX(0,F69-G48)))</f>
        <v>0</v>
      </c>
      <c r="H111" s="65" t="n">
        <f aca="false">IF(Assumptions!H$204&lt;Account_Register!$W$25,0,MAX(0,H69-H48)-IF(MOD(Assumptions!H$204-Account_Register!$W$25,12)=0,0,MAX(0,G69-H48)))</f>
        <v>0</v>
      </c>
      <c r="I111" s="65" t="n">
        <f aca="false">IF(Assumptions!I$204&lt;Account_Register!$W$25,0,MAX(0,I69-I48)-IF(MOD(Assumptions!I$204-Account_Register!$W$25,12)=0,0,MAX(0,H69-I48)))</f>
        <v>0</v>
      </c>
      <c r="J111" s="65" t="n">
        <f aca="false">IF(Assumptions!J$204&lt;Account_Register!$W$25,0,MAX(0,J69-J48)-IF(MOD(Assumptions!J$204-Account_Register!$W$25,12)=0,0,MAX(0,I69-J48)))</f>
        <v>0</v>
      </c>
      <c r="K111" s="65" t="n">
        <f aca="false">IF(Assumptions!K$204&lt;Account_Register!$W$25,0,MAX(0,K69-K48)-IF(MOD(Assumptions!K$204-Account_Register!$W$25,12)=0,0,MAX(0,J69-K48)))</f>
        <v>0</v>
      </c>
      <c r="L111" s="65" t="n">
        <f aca="false">IF(Assumptions!L$204&lt;Account_Register!$W$25,0,MAX(0,L69-L48)-IF(MOD(Assumptions!L$204-Account_Register!$W$25,12)=0,0,MAX(0,K69-L48)))</f>
        <v>0</v>
      </c>
      <c r="M111" s="65" t="n">
        <f aca="false">IF(Assumptions!M$204&lt;Account_Register!$W$25,0,MAX(0,M69-M48)-IF(MOD(Assumptions!M$204-Account_Register!$W$25,12)=0,0,MAX(0,L69-M48)))</f>
        <v>0</v>
      </c>
      <c r="N111" s="65" t="n">
        <f aca="false">IF(Assumptions!N$204&lt;Account_Register!$W$25,0,MAX(0,N69-N48)-IF(MOD(Assumptions!N$204-Account_Register!$W$25,12)=0,0,MAX(0,M69-N48)))</f>
        <v>0</v>
      </c>
      <c r="O111" s="65" t="n">
        <f aca="false">IF(Assumptions!O$204&lt;Account_Register!$W$25,0,MAX(0,O69-O48)-IF(MOD(Assumptions!O$204-Account_Register!$W$25,12)=0,0,MAX(0,N69-O48)))</f>
        <v>0</v>
      </c>
      <c r="P111" s="65" t="n">
        <f aca="false">IF(Assumptions!P$204&lt;Account_Register!$W$25,0,MAX(0,P69-P48)-IF(MOD(Assumptions!P$204-Account_Register!$W$25,12)=0,0,MAX(0,O69-P48)))</f>
        <v>0</v>
      </c>
      <c r="Q111" s="65" t="n">
        <f aca="false">IF(Assumptions!Q$204&lt;Account_Register!$W$25,0,MAX(0,Q69-Q48)-IF(MOD(Assumptions!Q$204-Account_Register!$W$25,12)=0,0,MAX(0,P69-Q48)))</f>
        <v>0</v>
      </c>
      <c r="R111" s="65" t="n">
        <f aca="false">IF(Assumptions!R$204&lt;Account_Register!$W$25,0,MAX(0,R69-R48)-IF(MOD(Assumptions!R$204-Account_Register!$W$25,12)=0,0,MAX(0,Q69-R48)))</f>
        <v>0</v>
      </c>
      <c r="S111" s="65" t="n">
        <f aca="false">IF(Assumptions!S$204&lt;Account_Register!$W$25,0,MAX(0,S69-S48)-IF(MOD(Assumptions!S$204-Account_Register!$W$25,12)=0,0,MAX(0,R69-S48)))</f>
        <v>0</v>
      </c>
      <c r="T111" s="65" t="n">
        <f aca="false">IF(Assumptions!T$204&lt;Account_Register!$W$25,0,MAX(0,T69-T48)-IF(MOD(Assumptions!T$204-Account_Register!$W$25,12)=0,0,MAX(0,S69-T48)))</f>
        <v>0</v>
      </c>
      <c r="U111" s="65" t="n">
        <f aca="false">IF(Assumptions!U$204&lt;Account_Register!$W$25,0,MAX(0,U69-U48)-IF(MOD(Assumptions!U$204-Account_Register!$W$25,12)=0,0,MAX(0,T69-U48)))</f>
        <v>0</v>
      </c>
      <c r="V111" s="65" t="n">
        <f aca="false">IF(Assumptions!V$204&lt;Account_Register!$W$25,0,MAX(0,V69-V48)-IF(MOD(Assumptions!V$204-Account_Register!$W$25,12)=0,0,MAX(0,U69-V48)))</f>
        <v>0</v>
      </c>
      <c r="W111" s="65" t="n">
        <f aca="false">IF(Assumptions!W$204&lt;Account_Register!$W$25,0,MAX(0,W69-W48)-IF(MOD(Assumptions!W$204-Account_Register!$W$25,12)=0,0,MAX(0,V69-W48)))</f>
        <v>0</v>
      </c>
      <c r="X111" s="65" t="n">
        <f aca="false">IF(Assumptions!X$204&lt;Account_Register!$W$25,0,MAX(0,X69-X48)-IF(MOD(Assumptions!X$204-Account_Register!$W$25,12)=0,0,MAX(0,W69-X48)))</f>
        <v>0</v>
      </c>
      <c r="Y111" s="65" t="n">
        <f aca="false">IF(Assumptions!Y$204&lt;Account_Register!$W$25,0,MAX(0,Y69-Y48)-IF(MOD(Assumptions!Y$204-Account_Register!$W$25,12)=0,0,MAX(0,X69-Y48)))</f>
        <v>0</v>
      </c>
      <c r="Z111" s="65" t="n">
        <f aca="false">IF(Assumptions!Z$204&lt;Account_Register!$W$25,0,MAX(0,Z69-Z48)-IF(MOD(Assumptions!Z$204-Account_Register!$W$25,12)=0,0,MAX(0,Y69-Z48)))</f>
        <v>0</v>
      </c>
      <c r="AA111" s="65" t="n">
        <f aca="false">IF(Assumptions!AA$204&lt;Account_Register!$W$25,0,MAX(0,AA69-AA48)-IF(MOD(Assumptions!AA$204-Account_Register!$W$25,12)=0,0,MAX(0,Z69-AA48)))</f>
        <v>0</v>
      </c>
      <c r="AB111" s="65" t="n">
        <f aca="false">IF(Assumptions!AB$204&lt;Account_Register!$W$25,0,MAX(0,AB69-AB48)-IF(MOD(Assumptions!AB$204-Account_Register!$W$25,12)=0,0,MAX(0,AA69-AB48)))</f>
        <v>0</v>
      </c>
    </row>
    <row r="112" customFormat="false" ht="15" hidden="false" customHeight="false" outlineLevel="0" collapsed="false">
      <c r="A112" s="28" t="s">
        <v>933</v>
      </c>
      <c r="B112" s="62"/>
      <c r="C112" s="64" t="n">
        <f aca="false">SUM(E112:P112)</f>
        <v>0</v>
      </c>
      <c r="D112" s="64" t="n">
        <f aca="false">SUM(Q112:AB112)</f>
        <v>0</v>
      </c>
      <c r="E112" s="65" t="n">
        <f aca="false">IF(Assumptions!E$204&lt;Account_Register!$W$26,0,MAX(0,E70-E49)-IF(MOD(Assumptions!E$204-Account_Register!$W$26,12)=0,0,MAX(0,0-E49)))</f>
        <v>0</v>
      </c>
      <c r="F112" s="65" t="n">
        <f aca="false">IF(Assumptions!F$204&lt;Account_Register!$W$26,0,MAX(0,F70-F49)-IF(MOD(Assumptions!F$204-Account_Register!$W$26,12)=0,0,MAX(0,E70-F49)))</f>
        <v>0</v>
      </c>
      <c r="G112" s="65" t="n">
        <f aca="false">IF(Assumptions!G$204&lt;Account_Register!$W$26,0,MAX(0,G70-G49)-IF(MOD(Assumptions!G$204-Account_Register!$W$26,12)=0,0,MAX(0,F70-G49)))</f>
        <v>0</v>
      </c>
      <c r="H112" s="65" t="n">
        <f aca="false">IF(Assumptions!H$204&lt;Account_Register!$W$26,0,MAX(0,H70-H49)-IF(MOD(Assumptions!H$204-Account_Register!$W$26,12)=0,0,MAX(0,G70-H49)))</f>
        <v>0</v>
      </c>
      <c r="I112" s="65" t="n">
        <f aca="false">IF(Assumptions!I$204&lt;Account_Register!$W$26,0,MAX(0,I70-I49)-IF(MOD(Assumptions!I$204-Account_Register!$W$26,12)=0,0,MAX(0,H70-I49)))</f>
        <v>0</v>
      </c>
      <c r="J112" s="65" t="n">
        <f aca="false">IF(Assumptions!J$204&lt;Account_Register!$W$26,0,MAX(0,J70-J49)-IF(MOD(Assumptions!J$204-Account_Register!$W$26,12)=0,0,MAX(0,I70-J49)))</f>
        <v>0</v>
      </c>
      <c r="K112" s="65" t="n">
        <f aca="false">IF(Assumptions!K$204&lt;Account_Register!$W$26,0,MAX(0,K70-K49)-IF(MOD(Assumptions!K$204-Account_Register!$W$26,12)=0,0,MAX(0,J70-K49)))</f>
        <v>0</v>
      </c>
      <c r="L112" s="65" t="n">
        <f aca="false">IF(Assumptions!L$204&lt;Account_Register!$W$26,0,MAX(0,L70-L49)-IF(MOD(Assumptions!L$204-Account_Register!$W$26,12)=0,0,MAX(0,K70-L49)))</f>
        <v>0</v>
      </c>
      <c r="M112" s="65" t="n">
        <f aca="false">IF(Assumptions!M$204&lt;Account_Register!$W$26,0,MAX(0,M70-M49)-IF(MOD(Assumptions!M$204-Account_Register!$W$26,12)=0,0,MAX(0,L70-M49)))</f>
        <v>0</v>
      </c>
      <c r="N112" s="65" t="n">
        <f aca="false">IF(Assumptions!N$204&lt;Account_Register!$W$26,0,MAX(0,N70-N49)-IF(MOD(Assumptions!N$204-Account_Register!$W$26,12)=0,0,MAX(0,M70-N49)))</f>
        <v>0</v>
      </c>
      <c r="O112" s="65" t="n">
        <f aca="false">IF(Assumptions!O$204&lt;Account_Register!$W$26,0,MAX(0,O70-O49)-IF(MOD(Assumptions!O$204-Account_Register!$W$26,12)=0,0,MAX(0,N70-O49)))</f>
        <v>0</v>
      </c>
      <c r="P112" s="65" t="n">
        <f aca="false">IF(Assumptions!P$204&lt;Account_Register!$W$26,0,MAX(0,P70-P49)-IF(MOD(Assumptions!P$204-Account_Register!$W$26,12)=0,0,MAX(0,O70-P49)))</f>
        <v>0</v>
      </c>
      <c r="Q112" s="65" t="n">
        <f aca="false">IF(Assumptions!Q$204&lt;Account_Register!$W$26,0,MAX(0,Q70-Q49)-IF(MOD(Assumptions!Q$204-Account_Register!$W$26,12)=0,0,MAX(0,P70-Q49)))</f>
        <v>0</v>
      </c>
      <c r="R112" s="65" t="n">
        <f aca="false">IF(Assumptions!R$204&lt;Account_Register!$W$26,0,MAX(0,R70-R49)-IF(MOD(Assumptions!R$204-Account_Register!$W$26,12)=0,0,MAX(0,Q70-R49)))</f>
        <v>0</v>
      </c>
      <c r="S112" s="65" t="n">
        <f aca="false">IF(Assumptions!S$204&lt;Account_Register!$W$26,0,MAX(0,S70-S49)-IF(MOD(Assumptions!S$204-Account_Register!$W$26,12)=0,0,MAX(0,R70-S49)))</f>
        <v>0</v>
      </c>
      <c r="T112" s="65" t="n">
        <f aca="false">IF(Assumptions!T$204&lt;Account_Register!$W$26,0,MAX(0,T70-T49)-IF(MOD(Assumptions!T$204-Account_Register!$W$26,12)=0,0,MAX(0,S70-T49)))</f>
        <v>0</v>
      </c>
      <c r="U112" s="65" t="n">
        <f aca="false">IF(Assumptions!U$204&lt;Account_Register!$W$26,0,MAX(0,U70-U49)-IF(MOD(Assumptions!U$204-Account_Register!$W$26,12)=0,0,MAX(0,T70-U49)))</f>
        <v>0</v>
      </c>
      <c r="V112" s="65" t="n">
        <f aca="false">IF(Assumptions!V$204&lt;Account_Register!$W$26,0,MAX(0,V70-V49)-IF(MOD(Assumptions!V$204-Account_Register!$W$26,12)=0,0,MAX(0,U70-V49)))</f>
        <v>0</v>
      </c>
      <c r="W112" s="65" t="n">
        <f aca="false">IF(Assumptions!W$204&lt;Account_Register!$W$26,0,MAX(0,W70-W49)-IF(MOD(Assumptions!W$204-Account_Register!$W$26,12)=0,0,MAX(0,V70-W49)))</f>
        <v>0</v>
      </c>
      <c r="X112" s="65" t="n">
        <f aca="false">IF(Assumptions!X$204&lt;Account_Register!$W$26,0,MAX(0,X70-X49)-IF(MOD(Assumptions!X$204-Account_Register!$W$26,12)=0,0,MAX(0,W70-X49)))</f>
        <v>0</v>
      </c>
      <c r="Y112" s="65" t="n">
        <f aca="false">IF(Assumptions!Y$204&lt;Account_Register!$W$26,0,MAX(0,Y70-Y49)-IF(MOD(Assumptions!Y$204-Account_Register!$W$26,12)=0,0,MAX(0,X70-Y49)))</f>
        <v>0</v>
      </c>
      <c r="Z112" s="65" t="n">
        <f aca="false">IF(Assumptions!Z$204&lt;Account_Register!$W$26,0,MAX(0,Z70-Z49)-IF(MOD(Assumptions!Z$204-Account_Register!$W$26,12)=0,0,MAX(0,Y70-Z49)))</f>
        <v>0</v>
      </c>
      <c r="AA112" s="65" t="n">
        <f aca="false">IF(Assumptions!AA$204&lt;Account_Register!$W$26,0,MAX(0,AA70-AA49)-IF(MOD(Assumptions!AA$204-Account_Register!$W$26,12)=0,0,MAX(0,Z70-AA49)))</f>
        <v>0</v>
      </c>
      <c r="AB112" s="65" t="n">
        <f aca="false">IF(Assumptions!AB$204&lt;Account_Register!$W$26,0,MAX(0,AB70-AB49)-IF(MOD(Assumptions!AB$204-Account_Register!$W$26,12)=0,0,MAX(0,AA70-AB49)))</f>
        <v>0</v>
      </c>
    </row>
    <row r="113" customFormat="false" ht="15" hidden="false" customHeight="false" outlineLevel="0" collapsed="false">
      <c r="A113" s="22" t="s">
        <v>937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customFormat="false" ht="15" hidden="false" customHeight="false" outlineLevel="0" collapsed="false">
      <c r="A114" s="28" t="s">
        <v>913</v>
      </c>
      <c r="B114" s="62"/>
      <c r="C114" s="64" t="n">
        <f aca="false">SUM(E114:P114)</f>
        <v>0</v>
      </c>
      <c r="D114" s="64" t="n">
        <f aca="false">SUM(Q114:AB114)</f>
        <v>0</v>
      </c>
      <c r="E114" s="73" t="n">
        <f aca="false">0</f>
        <v>0</v>
      </c>
      <c r="F114" s="73" t="n">
        <f aca="false">0</f>
        <v>0</v>
      </c>
      <c r="G114" s="73" t="n">
        <f aca="false">0</f>
        <v>0</v>
      </c>
      <c r="H114" s="73" t="n">
        <f aca="false">0</f>
        <v>0</v>
      </c>
      <c r="I114" s="73" t="n">
        <f aca="false">MAX(0,I30-I51)</f>
        <v>0</v>
      </c>
      <c r="J114" s="73" t="n">
        <f aca="false">0</f>
        <v>0</v>
      </c>
      <c r="K114" s="73" t="n">
        <f aca="false">0</f>
        <v>0</v>
      </c>
      <c r="L114" s="73" t="n">
        <f aca="false">0</f>
        <v>0</v>
      </c>
      <c r="M114" s="73" t="n">
        <f aca="false">0</f>
        <v>0</v>
      </c>
      <c r="N114" s="73" t="n">
        <f aca="false">0</f>
        <v>0</v>
      </c>
      <c r="O114" s="73" t="n">
        <f aca="false">0</f>
        <v>0</v>
      </c>
      <c r="P114" s="73" t="n">
        <f aca="false">0</f>
        <v>0</v>
      </c>
      <c r="Q114" s="73" t="n">
        <f aca="false">0</f>
        <v>0</v>
      </c>
      <c r="R114" s="73" t="n">
        <f aca="false">0</f>
        <v>0</v>
      </c>
      <c r="S114" s="73" t="n">
        <f aca="false">0</f>
        <v>0</v>
      </c>
      <c r="T114" s="73" t="n">
        <f aca="false">0</f>
        <v>0</v>
      </c>
      <c r="U114" s="73" t="n">
        <f aca="false">MAX(0,U30-U51)</f>
        <v>0</v>
      </c>
      <c r="V114" s="73" t="n">
        <f aca="false">0</f>
        <v>0</v>
      </c>
      <c r="W114" s="73" t="n">
        <f aca="false">0</f>
        <v>0</v>
      </c>
      <c r="X114" s="73" t="n">
        <f aca="false">0</f>
        <v>0</v>
      </c>
      <c r="Y114" s="73" t="n">
        <f aca="false">0</f>
        <v>0</v>
      </c>
      <c r="Z114" s="73" t="n">
        <f aca="false">0</f>
        <v>0</v>
      </c>
      <c r="AA114" s="73" t="n">
        <f aca="false">0</f>
        <v>0</v>
      </c>
      <c r="AB114" s="73" t="n">
        <f aca="false">0</f>
        <v>0</v>
      </c>
    </row>
    <row r="115" customFormat="false" ht="15" hidden="false" customHeight="false" outlineLevel="0" collapsed="false">
      <c r="A115" s="28" t="s">
        <v>915</v>
      </c>
      <c r="B115" s="62"/>
      <c r="C115" s="64" t="n">
        <f aca="false">SUM(E115:P115)</f>
        <v>74919.2532</v>
      </c>
      <c r="D115" s="64" t="n">
        <f aca="false">SUM(Q115:AB115)</f>
        <v>42491.4201429793</v>
      </c>
      <c r="E115" s="73" t="n">
        <f aca="false">0</f>
        <v>0</v>
      </c>
      <c r="F115" s="73" t="n">
        <f aca="false">0</f>
        <v>0</v>
      </c>
      <c r="G115" s="73" t="n">
        <f aca="false">0</f>
        <v>0</v>
      </c>
      <c r="H115" s="73" t="n">
        <f aca="false">0</f>
        <v>0</v>
      </c>
      <c r="I115" s="73" t="n">
        <f aca="false">0</f>
        <v>0</v>
      </c>
      <c r="J115" s="73" t="n">
        <f aca="false">0</f>
        <v>0</v>
      </c>
      <c r="K115" s="73" t="n">
        <f aca="false">0</f>
        <v>0</v>
      </c>
      <c r="L115" s="73" t="n">
        <f aca="false">0</f>
        <v>0</v>
      </c>
      <c r="M115" s="73" t="n">
        <f aca="false">MAX(0,M31-M52)</f>
        <v>74919.2532</v>
      </c>
      <c r="N115" s="73" t="n">
        <f aca="false">0</f>
        <v>0</v>
      </c>
      <c r="O115" s="73" t="n">
        <f aca="false">0</f>
        <v>0</v>
      </c>
      <c r="P115" s="73" t="n">
        <f aca="false">0</f>
        <v>0</v>
      </c>
      <c r="Q115" s="73" t="n">
        <f aca="false">0</f>
        <v>0</v>
      </c>
      <c r="R115" s="73" t="n">
        <f aca="false">0</f>
        <v>0</v>
      </c>
      <c r="S115" s="73" t="n">
        <f aca="false">0</f>
        <v>0</v>
      </c>
      <c r="T115" s="73" t="n">
        <f aca="false">0</f>
        <v>0</v>
      </c>
      <c r="U115" s="73" t="n">
        <f aca="false">0</f>
        <v>0</v>
      </c>
      <c r="V115" s="73" t="n">
        <f aca="false">0</f>
        <v>0</v>
      </c>
      <c r="W115" s="73" t="n">
        <f aca="false">0</f>
        <v>0</v>
      </c>
      <c r="X115" s="73" t="n">
        <f aca="false">0</f>
        <v>0</v>
      </c>
      <c r="Y115" s="73" t="n">
        <f aca="false">MAX(0,Y31-Y52)</f>
        <v>42491.4201429793</v>
      </c>
      <c r="Z115" s="73" t="n">
        <f aca="false">0</f>
        <v>0</v>
      </c>
      <c r="AA115" s="73" t="n">
        <f aca="false">0</f>
        <v>0</v>
      </c>
      <c r="AB115" s="73" t="n">
        <f aca="false">0</f>
        <v>0</v>
      </c>
    </row>
    <row r="116" customFormat="false" ht="15" hidden="false" customHeight="false" outlineLevel="0" collapsed="false">
      <c r="A116" s="28" t="s">
        <v>916</v>
      </c>
      <c r="B116" s="62"/>
      <c r="C116" s="64" t="n">
        <f aca="false">SUM(E116:P116)</f>
        <v>0</v>
      </c>
      <c r="D116" s="64" t="n">
        <f aca="false">SUM(Q116:AB116)</f>
        <v>0</v>
      </c>
      <c r="E116" s="73" t="n">
        <f aca="false">MAX(0,E32-E53)</f>
        <v>0</v>
      </c>
      <c r="F116" s="73" t="n">
        <f aca="false">0</f>
        <v>0</v>
      </c>
      <c r="G116" s="73" t="n">
        <f aca="false">0</f>
        <v>0</v>
      </c>
      <c r="H116" s="73" t="n">
        <f aca="false">0</f>
        <v>0</v>
      </c>
      <c r="I116" s="73" t="n">
        <f aca="false">0</f>
        <v>0</v>
      </c>
      <c r="J116" s="73" t="n">
        <f aca="false">0</f>
        <v>0</v>
      </c>
      <c r="K116" s="73" t="n">
        <f aca="false">0</f>
        <v>0</v>
      </c>
      <c r="L116" s="73" t="n">
        <f aca="false">0</f>
        <v>0</v>
      </c>
      <c r="M116" s="73" t="n">
        <f aca="false">0</f>
        <v>0</v>
      </c>
      <c r="N116" s="73" t="n">
        <f aca="false">0</f>
        <v>0</v>
      </c>
      <c r="O116" s="73" t="n">
        <f aca="false">0</f>
        <v>0</v>
      </c>
      <c r="P116" s="73" t="n">
        <f aca="false">0</f>
        <v>0</v>
      </c>
      <c r="Q116" s="73" t="n">
        <f aca="false">MAX(0,Q32-Q53)</f>
        <v>0</v>
      </c>
      <c r="R116" s="73" t="n">
        <f aca="false">0</f>
        <v>0</v>
      </c>
      <c r="S116" s="73" t="n">
        <f aca="false">0</f>
        <v>0</v>
      </c>
      <c r="T116" s="73" t="n">
        <f aca="false">0</f>
        <v>0</v>
      </c>
      <c r="U116" s="73" t="n">
        <f aca="false">0</f>
        <v>0</v>
      </c>
      <c r="V116" s="73" t="n">
        <f aca="false">0</f>
        <v>0</v>
      </c>
      <c r="W116" s="73" t="n">
        <f aca="false">0</f>
        <v>0</v>
      </c>
      <c r="X116" s="73" t="n">
        <f aca="false">0</f>
        <v>0</v>
      </c>
      <c r="Y116" s="73" t="n">
        <f aca="false">0</f>
        <v>0</v>
      </c>
      <c r="Z116" s="73" t="n">
        <f aca="false">0</f>
        <v>0</v>
      </c>
      <c r="AA116" s="73" t="n">
        <f aca="false">0</f>
        <v>0</v>
      </c>
      <c r="AB116" s="73" t="n">
        <f aca="false">0</f>
        <v>0</v>
      </c>
    </row>
    <row r="117" customFormat="false" ht="15" hidden="false" customHeight="false" outlineLevel="0" collapsed="false">
      <c r="A117" s="28" t="s">
        <v>917</v>
      </c>
      <c r="B117" s="62"/>
      <c r="C117" s="64" t="n">
        <f aca="false">SUM(E117:P117)</f>
        <v>30786.01</v>
      </c>
      <c r="D117" s="64" t="n">
        <f aca="false">SUM(Q117:AB117)</f>
        <v>23703.4230824801</v>
      </c>
      <c r="E117" s="73" t="n">
        <f aca="false">0</f>
        <v>0</v>
      </c>
      <c r="F117" s="73" t="n">
        <f aca="false">0</f>
        <v>0</v>
      </c>
      <c r="G117" s="73" t="n">
        <f aca="false">MAX(0,G33-G54)</f>
        <v>30786.01</v>
      </c>
      <c r="H117" s="73" t="n">
        <f aca="false">0</f>
        <v>0</v>
      </c>
      <c r="I117" s="73" t="n">
        <f aca="false">0</f>
        <v>0</v>
      </c>
      <c r="J117" s="73" t="n">
        <f aca="false">0</f>
        <v>0</v>
      </c>
      <c r="K117" s="73" t="n">
        <f aca="false">0</f>
        <v>0</v>
      </c>
      <c r="L117" s="73" t="n">
        <f aca="false">0</f>
        <v>0</v>
      </c>
      <c r="M117" s="73" t="n">
        <f aca="false">0</f>
        <v>0</v>
      </c>
      <c r="N117" s="73" t="n">
        <f aca="false">0</f>
        <v>0</v>
      </c>
      <c r="O117" s="73" t="n">
        <f aca="false">0</f>
        <v>0</v>
      </c>
      <c r="P117" s="73" t="n">
        <f aca="false">0</f>
        <v>0</v>
      </c>
      <c r="Q117" s="73" t="n">
        <f aca="false">0</f>
        <v>0</v>
      </c>
      <c r="R117" s="73" t="n">
        <f aca="false">0</f>
        <v>0</v>
      </c>
      <c r="S117" s="73" t="n">
        <f aca="false">MAX(0,S33-S54)</f>
        <v>23703.4230824801</v>
      </c>
      <c r="T117" s="73" t="n">
        <f aca="false">0</f>
        <v>0</v>
      </c>
      <c r="U117" s="73" t="n">
        <f aca="false">0</f>
        <v>0</v>
      </c>
      <c r="V117" s="73" t="n">
        <f aca="false">0</f>
        <v>0</v>
      </c>
      <c r="W117" s="73" t="n">
        <f aca="false">0</f>
        <v>0</v>
      </c>
      <c r="X117" s="73" t="n">
        <f aca="false">0</f>
        <v>0</v>
      </c>
      <c r="Y117" s="73" t="n">
        <f aca="false">0</f>
        <v>0</v>
      </c>
      <c r="Z117" s="73" t="n">
        <f aca="false">0</f>
        <v>0</v>
      </c>
      <c r="AA117" s="73" t="n">
        <f aca="false">0</f>
        <v>0</v>
      </c>
      <c r="AB117" s="73" t="n">
        <f aca="false">0</f>
        <v>0</v>
      </c>
    </row>
    <row r="118" customFormat="false" ht="15" hidden="false" customHeight="false" outlineLevel="0" collapsed="false">
      <c r="A118" s="28" t="s">
        <v>918</v>
      </c>
      <c r="B118" s="62"/>
      <c r="C118" s="64" t="n">
        <f aca="false">SUM(E118:P118)</f>
        <v>52996.47</v>
      </c>
      <c r="D118" s="64" t="n">
        <f aca="false">SUM(Q118:AB118)</f>
        <v>44534.8777246591</v>
      </c>
      <c r="E118" s="73" t="n">
        <f aca="false">0</f>
        <v>0</v>
      </c>
      <c r="F118" s="73" t="n">
        <f aca="false">0</f>
        <v>0</v>
      </c>
      <c r="G118" s="73" t="n">
        <f aca="false">0</f>
        <v>0</v>
      </c>
      <c r="H118" s="73" t="n">
        <f aca="false">0</f>
        <v>0</v>
      </c>
      <c r="I118" s="73" t="n">
        <f aca="false">0</f>
        <v>0</v>
      </c>
      <c r="J118" s="73" t="n">
        <f aca="false">MAX(0,J34-J55)</f>
        <v>52996.47</v>
      </c>
      <c r="K118" s="73" t="n">
        <f aca="false">0</f>
        <v>0</v>
      </c>
      <c r="L118" s="73" t="n">
        <f aca="false">0</f>
        <v>0</v>
      </c>
      <c r="M118" s="73" t="n">
        <f aca="false">0</f>
        <v>0</v>
      </c>
      <c r="N118" s="73" t="n">
        <f aca="false">0</f>
        <v>0</v>
      </c>
      <c r="O118" s="73" t="n">
        <f aca="false">0</f>
        <v>0</v>
      </c>
      <c r="P118" s="73" t="n">
        <f aca="false">0</f>
        <v>0</v>
      </c>
      <c r="Q118" s="73" t="n">
        <f aca="false">0</f>
        <v>0</v>
      </c>
      <c r="R118" s="73" t="n">
        <f aca="false">0</f>
        <v>0</v>
      </c>
      <c r="S118" s="73" t="n">
        <f aca="false">0</f>
        <v>0</v>
      </c>
      <c r="T118" s="73" t="n">
        <f aca="false">0</f>
        <v>0</v>
      </c>
      <c r="U118" s="73" t="n">
        <f aca="false">0</f>
        <v>0</v>
      </c>
      <c r="V118" s="73" t="n">
        <f aca="false">MAX(0,V34-V55)</f>
        <v>44534.8777246591</v>
      </c>
      <c r="W118" s="73" t="n">
        <f aca="false">0</f>
        <v>0</v>
      </c>
      <c r="X118" s="73" t="n">
        <f aca="false">0</f>
        <v>0</v>
      </c>
      <c r="Y118" s="73" t="n">
        <f aca="false">0</f>
        <v>0</v>
      </c>
      <c r="Z118" s="73" t="n">
        <f aca="false">0</f>
        <v>0</v>
      </c>
      <c r="AA118" s="73" t="n">
        <f aca="false">0</f>
        <v>0</v>
      </c>
      <c r="AB118" s="73" t="n">
        <f aca="false">0</f>
        <v>0</v>
      </c>
    </row>
    <row r="119" customFormat="false" ht="15" hidden="false" customHeight="false" outlineLevel="0" collapsed="false">
      <c r="A119" s="28" t="s">
        <v>919</v>
      </c>
      <c r="B119" s="62"/>
      <c r="C119" s="64" t="n">
        <f aca="false">SUM(E119:P119)</f>
        <v>34914.76</v>
      </c>
      <c r="D119" s="64" t="n">
        <f aca="false">SUM(Q119:AB119)</f>
        <v>11712.120364688</v>
      </c>
      <c r="E119" s="73" t="n">
        <f aca="false">0</f>
        <v>0</v>
      </c>
      <c r="F119" s="73" t="n">
        <f aca="false">0</f>
        <v>0</v>
      </c>
      <c r="G119" s="73" t="n">
        <f aca="false">0</f>
        <v>0</v>
      </c>
      <c r="H119" s="73" t="n">
        <f aca="false">0</f>
        <v>0</v>
      </c>
      <c r="I119" s="73" t="n">
        <f aca="false">0</f>
        <v>0</v>
      </c>
      <c r="J119" s="73" t="n">
        <f aca="false">0</f>
        <v>0</v>
      </c>
      <c r="K119" s="73" t="n">
        <f aca="false">0</f>
        <v>0</v>
      </c>
      <c r="L119" s="73" t="n">
        <f aca="false">MAX(0,L35-L56)</f>
        <v>34914.76</v>
      </c>
      <c r="M119" s="73" t="n">
        <f aca="false">0</f>
        <v>0</v>
      </c>
      <c r="N119" s="73" t="n">
        <f aca="false">0</f>
        <v>0</v>
      </c>
      <c r="O119" s="73" t="n">
        <f aca="false">0</f>
        <v>0</v>
      </c>
      <c r="P119" s="73" t="n">
        <f aca="false">0</f>
        <v>0</v>
      </c>
      <c r="Q119" s="73" t="n">
        <f aca="false">0</f>
        <v>0</v>
      </c>
      <c r="R119" s="73" t="n">
        <f aca="false">0</f>
        <v>0</v>
      </c>
      <c r="S119" s="73" t="n">
        <f aca="false">0</f>
        <v>0</v>
      </c>
      <c r="T119" s="73" t="n">
        <f aca="false">0</f>
        <v>0</v>
      </c>
      <c r="U119" s="73" t="n">
        <f aca="false">0</f>
        <v>0</v>
      </c>
      <c r="V119" s="73" t="n">
        <f aca="false">0</f>
        <v>0</v>
      </c>
      <c r="W119" s="73" t="n">
        <f aca="false">0</f>
        <v>0</v>
      </c>
      <c r="X119" s="73" t="n">
        <f aca="false">MAX(0,X35-X56)</f>
        <v>11712.120364688</v>
      </c>
      <c r="Y119" s="73" t="n">
        <f aca="false">0</f>
        <v>0</v>
      </c>
      <c r="Z119" s="73" t="n">
        <f aca="false">0</f>
        <v>0</v>
      </c>
      <c r="AA119" s="73" t="n">
        <f aca="false">0</f>
        <v>0</v>
      </c>
      <c r="AB119" s="73" t="n">
        <f aca="false">0</f>
        <v>0</v>
      </c>
    </row>
    <row r="120" customFormat="false" ht="15" hidden="false" customHeight="false" outlineLevel="0" collapsed="false">
      <c r="A120" s="28" t="s">
        <v>920</v>
      </c>
      <c r="B120" s="62"/>
      <c r="C120" s="64" t="n">
        <f aca="false">SUM(E120:P120)</f>
        <v>0</v>
      </c>
      <c r="D120" s="64" t="n">
        <f aca="false">SUM(Q120:AB120)</f>
        <v>0</v>
      </c>
      <c r="E120" s="73" t="n">
        <f aca="false">0</f>
        <v>0</v>
      </c>
      <c r="F120" s="73" t="n">
        <f aca="false">0</f>
        <v>0</v>
      </c>
      <c r="G120" s="73" t="n">
        <f aca="false">0</f>
        <v>0</v>
      </c>
      <c r="H120" s="73" t="n">
        <f aca="false">0</f>
        <v>0</v>
      </c>
      <c r="I120" s="73" t="n">
        <f aca="false">0</f>
        <v>0</v>
      </c>
      <c r="J120" s="73" t="n">
        <f aca="false">0</f>
        <v>0</v>
      </c>
      <c r="K120" s="73" t="n">
        <f aca="false">0</f>
        <v>0</v>
      </c>
      <c r="L120" s="73" t="n">
        <f aca="false">0</f>
        <v>0</v>
      </c>
      <c r="M120" s="73" t="n">
        <f aca="false">0</f>
        <v>0</v>
      </c>
      <c r="N120" s="73" t="n">
        <f aca="false">MAX(0,N36-N57)</f>
        <v>0</v>
      </c>
      <c r="O120" s="73" t="n">
        <f aca="false">0</f>
        <v>0</v>
      </c>
      <c r="P120" s="73" t="n">
        <f aca="false">0</f>
        <v>0</v>
      </c>
      <c r="Q120" s="73" t="n">
        <f aca="false">0</f>
        <v>0</v>
      </c>
      <c r="R120" s="73" t="n">
        <f aca="false">0</f>
        <v>0</v>
      </c>
      <c r="S120" s="73" t="n">
        <f aca="false">0</f>
        <v>0</v>
      </c>
      <c r="T120" s="73" t="n">
        <f aca="false">0</f>
        <v>0</v>
      </c>
      <c r="U120" s="73" t="n">
        <f aca="false">0</f>
        <v>0</v>
      </c>
      <c r="V120" s="73" t="n">
        <f aca="false">0</f>
        <v>0</v>
      </c>
      <c r="W120" s="73" t="n">
        <f aca="false">0</f>
        <v>0</v>
      </c>
      <c r="X120" s="73" t="n">
        <f aca="false">0</f>
        <v>0</v>
      </c>
      <c r="Y120" s="73" t="n">
        <f aca="false">0</f>
        <v>0</v>
      </c>
      <c r="Z120" s="73" t="n">
        <f aca="false">MAX(0,Z36-Z57)</f>
        <v>0</v>
      </c>
      <c r="AA120" s="73" t="n">
        <f aca="false">0</f>
        <v>0</v>
      </c>
      <c r="AB120" s="73" t="n">
        <f aca="false">0</f>
        <v>0</v>
      </c>
    </row>
    <row r="121" customFormat="false" ht="15" hidden="false" customHeight="false" outlineLevel="0" collapsed="false">
      <c r="A121" s="28" t="s">
        <v>921</v>
      </c>
      <c r="B121" s="62"/>
      <c r="C121" s="64" t="n">
        <f aca="false">SUM(E121:P121)</f>
        <v>0</v>
      </c>
      <c r="D121" s="64" t="n">
        <f aca="false">SUM(Q121:AB121)</f>
        <v>0</v>
      </c>
      <c r="E121" s="73" t="n">
        <f aca="false">0</f>
        <v>0</v>
      </c>
      <c r="F121" s="73" t="n">
        <f aca="false">MAX(0,F37-F58)</f>
        <v>0</v>
      </c>
      <c r="G121" s="73" t="n">
        <f aca="false">0</f>
        <v>0</v>
      </c>
      <c r="H121" s="73" t="n">
        <f aca="false">0</f>
        <v>0</v>
      </c>
      <c r="I121" s="73" t="n">
        <f aca="false">0</f>
        <v>0</v>
      </c>
      <c r="J121" s="73" t="n">
        <f aca="false">0</f>
        <v>0</v>
      </c>
      <c r="K121" s="73" t="n">
        <f aca="false">0</f>
        <v>0</v>
      </c>
      <c r="L121" s="73" t="n">
        <f aca="false">0</f>
        <v>0</v>
      </c>
      <c r="M121" s="73" t="n">
        <f aca="false">0</f>
        <v>0</v>
      </c>
      <c r="N121" s="73" t="n">
        <f aca="false">0</f>
        <v>0</v>
      </c>
      <c r="O121" s="73" t="n">
        <f aca="false">0</f>
        <v>0</v>
      </c>
      <c r="P121" s="73" t="n">
        <f aca="false">0</f>
        <v>0</v>
      </c>
      <c r="Q121" s="73" t="n">
        <f aca="false">0</f>
        <v>0</v>
      </c>
      <c r="R121" s="73" t="n">
        <f aca="false">MAX(0,R37-R58)</f>
        <v>0</v>
      </c>
      <c r="S121" s="73" t="n">
        <f aca="false">0</f>
        <v>0</v>
      </c>
      <c r="T121" s="73" t="n">
        <f aca="false">0</f>
        <v>0</v>
      </c>
      <c r="U121" s="73" t="n">
        <f aca="false">0</f>
        <v>0</v>
      </c>
      <c r="V121" s="73" t="n">
        <f aca="false">0</f>
        <v>0</v>
      </c>
      <c r="W121" s="73" t="n">
        <f aca="false">0</f>
        <v>0</v>
      </c>
      <c r="X121" s="73" t="n">
        <f aca="false">0</f>
        <v>0</v>
      </c>
      <c r="Y121" s="73" t="n">
        <f aca="false">0</f>
        <v>0</v>
      </c>
      <c r="Z121" s="73" t="n">
        <f aca="false">0</f>
        <v>0</v>
      </c>
      <c r="AA121" s="73" t="n">
        <f aca="false">0</f>
        <v>0</v>
      </c>
      <c r="AB121" s="73" t="n">
        <f aca="false">0</f>
        <v>0</v>
      </c>
    </row>
    <row r="122" customFormat="false" ht="15" hidden="false" customHeight="false" outlineLevel="0" collapsed="false">
      <c r="A122" s="28" t="s">
        <v>922</v>
      </c>
      <c r="B122" s="62"/>
      <c r="C122" s="64" t="n">
        <f aca="false">SUM(E122:P122)</f>
        <v>36878.38</v>
      </c>
      <c r="D122" s="64" t="n">
        <f aca="false">SUM(Q122:AB122)</f>
        <v>20670.2974101282</v>
      </c>
      <c r="E122" s="73" t="n">
        <f aca="false">MAX(0,E38-E59)</f>
        <v>36878.38</v>
      </c>
      <c r="F122" s="73" t="n">
        <f aca="false">0</f>
        <v>0</v>
      </c>
      <c r="G122" s="73" t="n">
        <f aca="false">0</f>
        <v>0</v>
      </c>
      <c r="H122" s="73" t="n">
        <f aca="false">0</f>
        <v>0</v>
      </c>
      <c r="I122" s="73" t="n">
        <f aca="false">0</f>
        <v>0</v>
      </c>
      <c r="J122" s="73" t="n">
        <f aca="false">0</f>
        <v>0</v>
      </c>
      <c r="K122" s="73" t="n">
        <f aca="false">0</f>
        <v>0</v>
      </c>
      <c r="L122" s="73" t="n">
        <f aca="false">0</f>
        <v>0</v>
      </c>
      <c r="M122" s="73" t="n">
        <f aca="false">0</f>
        <v>0</v>
      </c>
      <c r="N122" s="73" t="n">
        <f aca="false">0</f>
        <v>0</v>
      </c>
      <c r="O122" s="73" t="n">
        <f aca="false">0</f>
        <v>0</v>
      </c>
      <c r="P122" s="73" t="n">
        <f aca="false">0</f>
        <v>0</v>
      </c>
      <c r="Q122" s="73" t="n">
        <f aca="false">MAX(0,Q38-Q59)</f>
        <v>20670.2974101282</v>
      </c>
      <c r="R122" s="73" t="n">
        <f aca="false">0</f>
        <v>0</v>
      </c>
      <c r="S122" s="73" t="n">
        <f aca="false">0</f>
        <v>0</v>
      </c>
      <c r="T122" s="73" t="n">
        <f aca="false">0</f>
        <v>0</v>
      </c>
      <c r="U122" s="73" t="n">
        <f aca="false">0</f>
        <v>0</v>
      </c>
      <c r="V122" s="73" t="n">
        <f aca="false">0</f>
        <v>0</v>
      </c>
      <c r="W122" s="73" t="n">
        <f aca="false">0</f>
        <v>0</v>
      </c>
      <c r="X122" s="73" t="n">
        <f aca="false">0</f>
        <v>0</v>
      </c>
      <c r="Y122" s="73" t="n">
        <f aca="false">0</f>
        <v>0</v>
      </c>
      <c r="Z122" s="73" t="n">
        <f aca="false">0</f>
        <v>0</v>
      </c>
      <c r="AA122" s="73" t="n">
        <f aca="false">0</f>
        <v>0</v>
      </c>
      <c r="AB122" s="73" t="n">
        <f aca="false">0</f>
        <v>0</v>
      </c>
    </row>
    <row r="123" customFormat="false" ht="15" hidden="false" customHeight="false" outlineLevel="0" collapsed="false">
      <c r="A123" s="28" t="s">
        <v>923</v>
      </c>
      <c r="B123" s="62"/>
      <c r="C123" s="64" t="n">
        <f aca="false">SUM(E123:P123)</f>
        <v>12426.57</v>
      </c>
      <c r="D123" s="64" t="n">
        <f aca="false">SUM(Q123:AB123)</f>
        <v>0</v>
      </c>
      <c r="E123" s="73" t="n">
        <f aca="false">0</f>
        <v>0</v>
      </c>
      <c r="F123" s="73" t="n">
        <f aca="false">0</f>
        <v>0</v>
      </c>
      <c r="G123" s="73" t="n">
        <f aca="false">MAX(0,G39-G60)</f>
        <v>12426.57</v>
      </c>
      <c r="H123" s="73" t="n">
        <f aca="false">0</f>
        <v>0</v>
      </c>
      <c r="I123" s="73" t="n">
        <f aca="false">0</f>
        <v>0</v>
      </c>
      <c r="J123" s="73" t="n">
        <f aca="false">0</f>
        <v>0</v>
      </c>
      <c r="K123" s="73" t="n">
        <f aca="false">0</f>
        <v>0</v>
      </c>
      <c r="L123" s="73" t="n">
        <f aca="false">0</f>
        <v>0</v>
      </c>
      <c r="M123" s="73" t="n">
        <f aca="false">0</f>
        <v>0</v>
      </c>
      <c r="N123" s="73" t="n">
        <f aca="false">0</f>
        <v>0</v>
      </c>
      <c r="O123" s="73" t="n">
        <f aca="false">0</f>
        <v>0</v>
      </c>
      <c r="P123" s="73" t="n">
        <f aca="false">0</f>
        <v>0</v>
      </c>
      <c r="Q123" s="73" t="n">
        <f aca="false">0</f>
        <v>0</v>
      </c>
      <c r="R123" s="73" t="n">
        <f aca="false">0</f>
        <v>0</v>
      </c>
      <c r="S123" s="73" t="n">
        <f aca="false">MAX(0,S39-S60)</f>
        <v>0</v>
      </c>
      <c r="T123" s="73" t="n">
        <f aca="false">0</f>
        <v>0</v>
      </c>
      <c r="U123" s="73" t="n">
        <f aca="false">0</f>
        <v>0</v>
      </c>
      <c r="V123" s="73" t="n">
        <f aca="false">0</f>
        <v>0</v>
      </c>
      <c r="W123" s="73" t="n">
        <f aca="false">0</f>
        <v>0</v>
      </c>
      <c r="X123" s="73" t="n">
        <f aca="false">0</f>
        <v>0</v>
      </c>
      <c r="Y123" s="73" t="n">
        <f aca="false">0</f>
        <v>0</v>
      </c>
      <c r="Z123" s="73" t="n">
        <f aca="false">0</f>
        <v>0</v>
      </c>
      <c r="AA123" s="73" t="n">
        <f aca="false">0</f>
        <v>0</v>
      </c>
      <c r="AB123" s="73" t="n">
        <f aca="false">0</f>
        <v>0</v>
      </c>
    </row>
    <row r="124" customFormat="false" ht="15" hidden="false" customHeight="false" outlineLevel="0" collapsed="false">
      <c r="A124" s="28" t="s">
        <v>924</v>
      </c>
      <c r="B124" s="62"/>
      <c r="C124" s="64" t="n">
        <f aca="false">SUM(E124:P124)</f>
        <v>26378.48</v>
      </c>
      <c r="D124" s="64" t="n">
        <f aca="false">SUM(Q124:AB124)</f>
        <v>0</v>
      </c>
      <c r="E124" s="73" t="n">
        <f aca="false">0</f>
        <v>0</v>
      </c>
      <c r="F124" s="73" t="n">
        <f aca="false">0</f>
        <v>0</v>
      </c>
      <c r="G124" s="73" t="n">
        <f aca="false">0</f>
        <v>0</v>
      </c>
      <c r="H124" s="73" t="n">
        <f aca="false">0</f>
        <v>0</v>
      </c>
      <c r="I124" s="73" t="n">
        <f aca="false">MAX(0,I40-I61)</f>
        <v>26378.48</v>
      </c>
      <c r="J124" s="73" t="n">
        <f aca="false">0</f>
        <v>0</v>
      </c>
      <c r="K124" s="73" t="n">
        <f aca="false">0</f>
        <v>0</v>
      </c>
      <c r="L124" s="73" t="n">
        <f aca="false">0</f>
        <v>0</v>
      </c>
      <c r="M124" s="73" t="n">
        <f aca="false">0</f>
        <v>0</v>
      </c>
      <c r="N124" s="73" t="n">
        <f aca="false">0</f>
        <v>0</v>
      </c>
      <c r="O124" s="73" t="n">
        <f aca="false">0</f>
        <v>0</v>
      </c>
      <c r="P124" s="73" t="n">
        <f aca="false">0</f>
        <v>0</v>
      </c>
      <c r="Q124" s="73" t="n">
        <f aca="false">0</f>
        <v>0</v>
      </c>
      <c r="R124" s="73" t="n">
        <f aca="false">0</f>
        <v>0</v>
      </c>
      <c r="S124" s="73" t="n">
        <f aca="false">0</f>
        <v>0</v>
      </c>
      <c r="T124" s="73" t="n">
        <f aca="false">0</f>
        <v>0</v>
      </c>
      <c r="U124" s="73" t="n">
        <f aca="false">MAX(0,U40-U61)</f>
        <v>0</v>
      </c>
      <c r="V124" s="73" t="n">
        <f aca="false">0</f>
        <v>0</v>
      </c>
      <c r="W124" s="73" t="n">
        <f aca="false">0</f>
        <v>0</v>
      </c>
      <c r="X124" s="73" t="n">
        <f aca="false">0</f>
        <v>0</v>
      </c>
      <c r="Y124" s="73" t="n">
        <f aca="false">0</f>
        <v>0</v>
      </c>
      <c r="Z124" s="73" t="n">
        <f aca="false">0</f>
        <v>0</v>
      </c>
      <c r="AA124" s="73" t="n">
        <f aca="false">0</f>
        <v>0</v>
      </c>
      <c r="AB124" s="73" t="n">
        <f aca="false">0</f>
        <v>0</v>
      </c>
    </row>
    <row r="125" customFormat="false" ht="15" hidden="false" customHeight="false" outlineLevel="0" collapsed="false">
      <c r="A125" s="28" t="s">
        <v>925</v>
      </c>
      <c r="B125" s="62"/>
      <c r="C125" s="64" t="n">
        <f aca="false">SUM(E125:P125)</f>
        <v>22095.51</v>
      </c>
      <c r="D125" s="64" t="n">
        <f aca="false">SUM(Q125:AB125)</f>
        <v>0</v>
      </c>
      <c r="E125" s="73" t="n">
        <f aca="false">0</f>
        <v>0</v>
      </c>
      <c r="F125" s="73" t="n">
        <f aca="false">0</f>
        <v>0</v>
      </c>
      <c r="G125" s="73" t="n">
        <f aca="false">0</f>
        <v>0</v>
      </c>
      <c r="H125" s="73" t="n">
        <f aca="false">0</f>
        <v>0</v>
      </c>
      <c r="I125" s="73" t="n">
        <f aca="false">0</f>
        <v>0</v>
      </c>
      <c r="J125" s="73" t="n">
        <f aca="false">0</f>
        <v>0</v>
      </c>
      <c r="K125" s="73" t="n">
        <f aca="false">MAX(0,K41-K62)</f>
        <v>22095.51</v>
      </c>
      <c r="L125" s="73" t="n">
        <f aca="false">0</f>
        <v>0</v>
      </c>
      <c r="M125" s="73" t="n">
        <f aca="false">0</f>
        <v>0</v>
      </c>
      <c r="N125" s="73" t="n">
        <f aca="false">0</f>
        <v>0</v>
      </c>
      <c r="O125" s="73" t="n">
        <f aca="false">0</f>
        <v>0</v>
      </c>
      <c r="P125" s="73" t="n">
        <f aca="false">0</f>
        <v>0</v>
      </c>
      <c r="Q125" s="73" t="n">
        <f aca="false">0</f>
        <v>0</v>
      </c>
      <c r="R125" s="73" t="n">
        <f aca="false">0</f>
        <v>0</v>
      </c>
      <c r="S125" s="73" t="n">
        <f aca="false">0</f>
        <v>0</v>
      </c>
      <c r="T125" s="73" t="n">
        <f aca="false">0</f>
        <v>0</v>
      </c>
      <c r="U125" s="73" t="n">
        <f aca="false">0</f>
        <v>0</v>
      </c>
      <c r="V125" s="73" t="n">
        <f aca="false">0</f>
        <v>0</v>
      </c>
      <c r="W125" s="73" t="n">
        <f aca="false">MAX(0,W41-W62)</f>
        <v>0</v>
      </c>
      <c r="X125" s="73" t="n">
        <f aca="false">0</f>
        <v>0</v>
      </c>
      <c r="Y125" s="73" t="n">
        <f aca="false">0</f>
        <v>0</v>
      </c>
      <c r="Z125" s="73" t="n">
        <f aca="false">0</f>
        <v>0</v>
      </c>
      <c r="AA125" s="73" t="n">
        <f aca="false">0</f>
        <v>0</v>
      </c>
      <c r="AB125" s="73" t="n">
        <f aca="false">0</f>
        <v>0</v>
      </c>
    </row>
    <row r="126" customFormat="false" ht="15" hidden="false" customHeight="false" outlineLevel="0" collapsed="false">
      <c r="A126" s="28" t="s">
        <v>926</v>
      </c>
      <c r="B126" s="62"/>
      <c r="C126" s="64" t="n">
        <f aca="false">SUM(E126:P126)</f>
        <v>34825.26742</v>
      </c>
      <c r="D126" s="64" t="n">
        <f aca="false">SUM(Q126:AB126)</f>
        <v>11224.9178884194</v>
      </c>
      <c r="E126" s="73" t="n">
        <f aca="false">0</f>
        <v>0</v>
      </c>
      <c r="F126" s="73" t="n">
        <f aca="false">0</f>
        <v>0</v>
      </c>
      <c r="G126" s="73" t="n">
        <f aca="false">0</f>
        <v>0</v>
      </c>
      <c r="H126" s="73" t="n">
        <f aca="false">0</f>
        <v>0</v>
      </c>
      <c r="I126" s="73" t="n">
        <f aca="false">0</f>
        <v>0</v>
      </c>
      <c r="J126" s="73" t="n">
        <f aca="false">0</f>
        <v>0</v>
      </c>
      <c r="K126" s="73" t="n">
        <f aca="false">0</f>
        <v>0</v>
      </c>
      <c r="L126" s="73" t="n">
        <f aca="false">0</f>
        <v>0</v>
      </c>
      <c r="M126" s="73" t="n">
        <f aca="false">MAX(0,M42-M63)</f>
        <v>34825.26742</v>
      </c>
      <c r="N126" s="73" t="n">
        <f aca="false">0</f>
        <v>0</v>
      </c>
      <c r="O126" s="73" t="n">
        <f aca="false">0</f>
        <v>0</v>
      </c>
      <c r="P126" s="73" t="n">
        <f aca="false">0</f>
        <v>0</v>
      </c>
      <c r="Q126" s="73" t="n">
        <f aca="false">0</f>
        <v>0</v>
      </c>
      <c r="R126" s="73" t="n">
        <f aca="false">0</f>
        <v>0</v>
      </c>
      <c r="S126" s="73" t="n">
        <f aca="false">0</f>
        <v>0</v>
      </c>
      <c r="T126" s="73" t="n">
        <f aca="false">0</f>
        <v>0</v>
      </c>
      <c r="U126" s="73" t="n">
        <f aca="false">0</f>
        <v>0</v>
      </c>
      <c r="V126" s="73" t="n">
        <f aca="false">0</f>
        <v>0</v>
      </c>
      <c r="W126" s="73" t="n">
        <f aca="false">0</f>
        <v>0</v>
      </c>
      <c r="X126" s="73" t="n">
        <f aca="false">0</f>
        <v>0</v>
      </c>
      <c r="Y126" s="73" t="n">
        <f aca="false">MAX(0,Y42-Y63)</f>
        <v>11224.9178884194</v>
      </c>
      <c r="Z126" s="73" t="n">
        <f aca="false">0</f>
        <v>0</v>
      </c>
      <c r="AA126" s="73" t="n">
        <f aca="false">0</f>
        <v>0</v>
      </c>
      <c r="AB126" s="73" t="n">
        <f aca="false">0</f>
        <v>0</v>
      </c>
    </row>
    <row r="127" customFormat="false" ht="15" hidden="false" customHeight="false" outlineLevel="0" collapsed="false">
      <c r="A127" s="28" t="s">
        <v>927</v>
      </c>
      <c r="B127" s="62"/>
      <c r="C127" s="64" t="n">
        <f aca="false">SUM(E127:P127)</f>
        <v>0</v>
      </c>
      <c r="D127" s="64" t="n">
        <f aca="false">SUM(Q127:AB127)</f>
        <v>80826.6274187247</v>
      </c>
      <c r="E127" s="73" t="n">
        <f aca="false">0</f>
        <v>0</v>
      </c>
      <c r="F127" s="73" t="n">
        <f aca="false">0</f>
        <v>0</v>
      </c>
      <c r="G127" s="73" t="n">
        <f aca="false">0</f>
        <v>0</v>
      </c>
      <c r="H127" s="73" t="n">
        <f aca="false">0</f>
        <v>0</v>
      </c>
      <c r="I127" s="73" t="n">
        <f aca="false">0</f>
        <v>0</v>
      </c>
      <c r="J127" s="73" t="n">
        <f aca="false">0</f>
        <v>0</v>
      </c>
      <c r="K127" s="73" t="n">
        <f aca="false">0</f>
        <v>0</v>
      </c>
      <c r="L127" s="73" t="n">
        <f aca="false">0</f>
        <v>0</v>
      </c>
      <c r="M127" s="73" t="n">
        <f aca="false">0</f>
        <v>0</v>
      </c>
      <c r="N127" s="73" t="n">
        <f aca="false">0</f>
        <v>0</v>
      </c>
      <c r="O127" s="73" t="n">
        <f aca="false">0</f>
        <v>0</v>
      </c>
      <c r="P127" s="73" t="n">
        <f aca="false">0</f>
        <v>0</v>
      </c>
      <c r="Q127" s="73" t="n">
        <f aca="false">0</f>
        <v>0</v>
      </c>
      <c r="R127" s="73" t="n">
        <f aca="false">0</f>
        <v>0</v>
      </c>
      <c r="S127" s="73" t="n">
        <f aca="false">MAX(0,S43-S64)</f>
        <v>80826.6274187247</v>
      </c>
      <c r="T127" s="73" t="n">
        <f aca="false">0</f>
        <v>0</v>
      </c>
      <c r="U127" s="73" t="n">
        <f aca="false">0</f>
        <v>0</v>
      </c>
      <c r="V127" s="73" t="n">
        <f aca="false">0</f>
        <v>0</v>
      </c>
      <c r="W127" s="73" t="n">
        <f aca="false">0</f>
        <v>0</v>
      </c>
      <c r="X127" s="73" t="n">
        <f aca="false">0</f>
        <v>0</v>
      </c>
      <c r="Y127" s="73" t="n">
        <f aca="false">0</f>
        <v>0</v>
      </c>
      <c r="Z127" s="73" t="n">
        <f aca="false">0</f>
        <v>0</v>
      </c>
      <c r="AA127" s="73" t="n">
        <f aca="false">0</f>
        <v>0</v>
      </c>
      <c r="AB127" s="73" t="n">
        <f aca="false">0</f>
        <v>0</v>
      </c>
    </row>
    <row r="128" customFormat="false" ht="15" hidden="false" customHeight="false" outlineLevel="0" collapsed="false">
      <c r="A128" s="28" t="s">
        <v>928</v>
      </c>
      <c r="B128" s="62"/>
      <c r="C128" s="64" t="n">
        <f aca="false">SUM(E128:P128)</f>
        <v>0</v>
      </c>
      <c r="D128" s="64" t="n">
        <f aca="false">SUM(Q128:AB128)</f>
        <v>76851.2187711721</v>
      </c>
      <c r="E128" s="73" t="n">
        <f aca="false">0</f>
        <v>0</v>
      </c>
      <c r="F128" s="73" t="n">
        <f aca="false">0</f>
        <v>0</v>
      </c>
      <c r="G128" s="73" t="n">
        <f aca="false">0</f>
        <v>0</v>
      </c>
      <c r="H128" s="73" t="n">
        <f aca="false">0</f>
        <v>0</v>
      </c>
      <c r="I128" s="73" t="n">
        <f aca="false">0</f>
        <v>0</v>
      </c>
      <c r="J128" s="73" t="n">
        <f aca="false">0</f>
        <v>0</v>
      </c>
      <c r="K128" s="73" t="n">
        <f aca="false">0</f>
        <v>0</v>
      </c>
      <c r="L128" s="73" t="n">
        <f aca="false">0</f>
        <v>0</v>
      </c>
      <c r="M128" s="73" t="n">
        <f aca="false">0</f>
        <v>0</v>
      </c>
      <c r="N128" s="73" t="n">
        <f aca="false">0</f>
        <v>0</v>
      </c>
      <c r="O128" s="73" t="n">
        <f aca="false">0</f>
        <v>0</v>
      </c>
      <c r="P128" s="73" t="n">
        <f aca="false">0</f>
        <v>0</v>
      </c>
      <c r="Q128" s="73" t="n">
        <f aca="false">0</f>
        <v>0</v>
      </c>
      <c r="R128" s="73" t="n">
        <f aca="false">0</f>
        <v>0</v>
      </c>
      <c r="S128" s="73" t="n">
        <f aca="false">0</f>
        <v>0</v>
      </c>
      <c r="T128" s="73" t="n">
        <f aca="false">0</f>
        <v>0</v>
      </c>
      <c r="U128" s="73" t="n">
        <f aca="false">0</f>
        <v>0</v>
      </c>
      <c r="V128" s="73" t="n">
        <f aca="false">MAX(0,V44-V65)</f>
        <v>76851.2187711721</v>
      </c>
      <c r="W128" s="73" t="n">
        <f aca="false">0</f>
        <v>0</v>
      </c>
      <c r="X128" s="73" t="n">
        <f aca="false">0</f>
        <v>0</v>
      </c>
      <c r="Y128" s="73" t="n">
        <f aca="false">0</f>
        <v>0</v>
      </c>
      <c r="Z128" s="73" t="n">
        <f aca="false">0</f>
        <v>0</v>
      </c>
      <c r="AA128" s="73" t="n">
        <f aca="false">0</f>
        <v>0</v>
      </c>
      <c r="AB128" s="73" t="n">
        <f aca="false">0</f>
        <v>0</v>
      </c>
    </row>
    <row r="129" customFormat="false" ht="15" hidden="false" customHeight="false" outlineLevel="0" collapsed="false">
      <c r="A129" s="28" t="s">
        <v>929</v>
      </c>
      <c r="B129" s="62"/>
      <c r="C129" s="64" t="n">
        <f aca="false">SUM(E129:P129)</f>
        <v>0</v>
      </c>
      <c r="D129" s="64" t="n">
        <f aca="false">SUM(Q129:AB129)</f>
        <v>66428.4736232323</v>
      </c>
      <c r="E129" s="65" t="n">
        <f aca="false">IF(AND(Assumptions!E$204&gt;=Account_Register!$W$22,MOD(Assumptions!E$204-Account_Register!$W$22,12)=11),MAX(0,E45-E66),0)</f>
        <v>0</v>
      </c>
      <c r="F129" s="65" t="n">
        <f aca="false">IF(AND(Assumptions!F$204&gt;=Account_Register!$W$22,MOD(Assumptions!F$204-Account_Register!$W$22,12)=11),MAX(0,F45-F66),0)</f>
        <v>0</v>
      </c>
      <c r="G129" s="65" t="n">
        <f aca="false">IF(AND(Assumptions!G$204&gt;=Account_Register!$W$22,MOD(Assumptions!G$204-Account_Register!$W$22,12)=11),MAX(0,G45-G66),0)</f>
        <v>0</v>
      </c>
      <c r="H129" s="65" t="n">
        <f aca="false">IF(AND(Assumptions!H$204&gt;=Account_Register!$W$22,MOD(Assumptions!H$204-Account_Register!$W$22,12)=11),MAX(0,H45-H66),0)</f>
        <v>0</v>
      </c>
      <c r="I129" s="65" t="n">
        <f aca="false">IF(AND(Assumptions!I$204&gt;=Account_Register!$W$22,MOD(Assumptions!I$204-Account_Register!$W$22,12)=11),MAX(0,I45-I66),0)</f>
        <v>0</v>
      </c>
      <c r="J129" s="65" t="n">
        <f aca="false">IF(AND(Assumptions!J$204&gt;=Account_Register!$W$22,MOD(Assumptions!J$204-Account_Register!$W$22,12)=11),MAX(0,J45-J66),0)</f>
        <v>0</v>
      </c>
      <c r="K129" s="65" t="n">
        <f aca="false">IF(AND(Assumptions!K$204&gt;=Account_Register!$W$22,MOD(Assumptions!K$204-Account_Register!$W$22,12)=11),MAX(0,K45-K66),0)</f>
        <v>0</v>
      </c>
      <c r="L129" s="65" t="n">
        <f aca="false">IF(AND(Assumptions!L$204&gt;=Account_Register!$W$22,MOD(Assumptions!L$204-Account_Register!$W$22,12)=11),MAX(0,L45-L66),0)</f>
        <v>0</v>
      </c>
      <c r="M129" s="65" t="n">
        <f aca="false">IF(AND(Assumptions!M$204&gt;=Account_Register!$W$22,MOD(Assumptions!M$204-Account_Register!$W$22,12)=11),MAX(0,M45-M66),0)</f>
        <v>0</v>
      </c>
      <c r="N129" s="65" t="n">
        <f aca="false">IF(AND(Assumptions!N$204&gt;=Account_Register!$W$22,MOD(Assumptions!N$204-Account_Register!$W$22,12)=11),MAX(0,N45-N66),0)</f>
        <v>0</v>
      </c>
      <c r="O129" s="65" t="n">
        <f aca="false">IF(AND(Assumptions!O$204&gt;=Account_Register!$W$22,MOD(Assumptions!O$204-Account_Register!$W$22,12)=11),MAX(0,O45-O66),0)</f>
        <v>0</v>
      </c>
      <c r="P129" s="65" t="n">
        <f aca="false">IF(AND(Assumptions!P$204&gt;=Account_Register!$W$22,MOD(Assumptions!P$204-Account_Register!$W$22,12)=11),MAX(0,P45-P66),0)</f>
        <v>0</v>
      </c>
      <c r="Q129" s="65" t="n">
        <f aca="false">IF(AND(Assumptions!Q$204&gt;=Account_Register!$W$22,MOD(Assumptions!Q$204-Account_Register!$W$22,12)=11),MAX(0,Q45-Q66),0)</f>
        <v>0</v>
      </c>
      <c r="R129" s="65" t="n">
        <f aca="false">IF(AND(Assumptions!R$204&gt;=Account_Register!$W$22,MOD(Assumptions!R$204-Account_Register!$W$22,12)=11),MAX(0,R45-R66),0)</f>
        <v>0</v>
      </c>
      <c r="S129" s="65" t="n">
        <f aca="false">IF(AND(Assumptions!S$204&gt;=Account_Register!$W$22,MOD(Assumptions!S$204-Account_Register!$W$22,12)=11),MAX(0,S45-S66),0)</f>
        <v>0</v>
      </c>
      <c r="T129" s="65" t="n">
        <f aca="false">IF(AND(Assumptions!T$204&gt;=Account_Register!$W$22,MOD(Assumptions!T$204-Account_Register!$W$22,12)=11),MAX(0,T45-T66),0)</f>
        <v>0</v>
      </c>
      <c r="U129" s="65" t="n">
        <f aca="false">IF(AND(Assumptions!U$204&gt;=Account_Register!$W$22,MOD(Assumptions!U$204-Account_Register!$W$22,12)=11),MAX(0,U45-U66),0)</f>
        <v>0</v>
      </c>
      <c r="V129" s="65" t="n">
        <f aca="false">IF(AND(Assumptions!V$204&gt;=Account_Register!$W$22,MOD(Assumptions!V$204-Account_Register!$W$22,12)=11),MAX(0,V45-V66),0)</f>
        <v>0</v>
      </c>
      <c r="W129" s="65" t="n">
        <f aca="false">IF(AND(Assumptions!W$204&gt;=Account_Register!$W$22,MOD(Assumptions!W$204-Account_Register!$W$22,12)=11),MAX(0,W45-W66),0)</f>
        <v>0</v>
      </c>
      <c r="X129" s="65" t="n">
        <f aca="false">IF(AND(Assumptions!X$204&gt;=Account_Register!$W$22,MOD(Assumptions!X$204-Account_Register!$W$22,12)=11),MAX(0,X45-X66),0)</f>
        <v>0</v>
      </c>
      <c r="Y129" s="65" t="n">
        <f aca="false">IF(AND(Assumptions!Y$204&gt;=Account_Register!$W$22,MOD(Assumptions!Y$204-Account_Register!$W$22,12)=11),MAX(0,Y45-Y66),0)</f>
        <v>0</v>
      </c>
      <c r="Z129" s="65" t="n">
        <f aca="false">IF(AND(Assumptions!Z$204&gt;=Account_Register!$W$22,MOD(Assumptions!Z$204-Account_Register!$W$22,12)=11),MAX(0,Z45-Z66),0)</f>
        <v>66428.4736232323</v>
      </c>
      <c r="AA129" s="65" t="n">
        <f aca="false">IF(AND(Assumptions!AA$204&gt;=Account_Register!$W$22,MOD(Assumptions!AA$204-Account_Register!$W$22,12)=11),MAX(0,AA45-AA66),0)</f>
        <v>0</v>
      </c>
      <c r="AB129" s="65" t="n">
        <f aca="false">IF(AND(Assumptions!AB$204&gt;=Account_Register!$W$22,MOD(Assumptions!AB$204-Account_Register!$W$22,12)=11),MAX(0,AB45-AB66),0)</f>
        <v>0</v>
      </c>
    </row>
    <row r="130" customFormat="false" ht="15" hidden="false" customHeight="false" outlineLevel="0" collapsed="false">
      <c r="A130" s="28" t="s">
        <v>930</v>
      </c>
      <c r="B130" s="62"/>
      <c r="C130" s="64" t="n">
        <f aca="false">SUM(E130:P130)</f>
        <v>0</v>
      </c>
      <c r="D130" s="64" t="n">
        <f aca="false">SUM(Q130:AB130)</f>
        <v>40259.6809837771</v>
      </c>
      <c r="E130" s="65" t="n">
        <f aca="false">IF(AND(Assumptions!E$204&gt;=Account_Register!$W$23,MOD(Assumptions!E$204-Account_Register!$W$23,12)=11),MAX(0,E46-E67),0)</f>
        <v>0</v>
      </c>
      <c r="F130" s="65" t="n">
        <f aca="false">IF(AND(Assumptions!F$204&gt;=Account_Register!$W$23,MOD(Assumptions!F$204-Account_Register!$W$23,12)=11),MAX(0,F46-F67),0)</f>
        <v>0</v>
      </c>
      <c r="G130" s="65" t="n">
        <f aca="false">IF(AND(Assumptions!G$204&gt;=Account_Register!$W$23,MOD(Assumptions!G$204-Account_Register!$W$23,12)=11),MAX(0,G46-G67),0)</f>
        <v>0</v>
      </c>
      <c r="H130" s="65" t="n">
        <f aca="false">IF(AND(Assumptions!H$204&gt;=Account_Register!$W$23,MOD(Assumptions!H$204-Account_Register!$W$23,12)=11),MAX(0,H46-H67),0)</f>
        <v>0</v>
      </c>
      <c r="I130" s="65" t="n">
        <f aca="false">IF(AND(Assumptions!I$204&gt;=Account_Register!$W$23,MOD(Assumptions!I$204-Account_Register!$W$23,12)=11),MAX(0,I46-I67),0)</f>
        <v>0</v>
      </c>
      <c r="J130" s="65" t="n">
        <f aca="false">IF(AND(Assumptions!J$204&gt;=Account_Register!$W$23,MOD(Assumptions!J$204-Account_Register!$W$23,12)=11),MAX(0,J46-J67),0)</f>
        <v>0</v>
      </c>
      <c r="K130" s="65" t="n">
        <f aca="false">IF(AND(Assumptions!K$204&gt;=Account_Register!$W$23,MOD(Assumptions!K$204-Account_Register!$W$23,12)=11),MAX(0,K46-K67),0)</f>
        <v>0</v>
      </c>
      <c r="L130" s="65" t="n">
        <f aca="false">IF(AND(Assumptions!L$204&gt;=Account_Register!$W$23,MOD(Assumptions!L$204-Account_Register!$W$23,12)=11),MAX(0,L46-L67),0)</f>
        <v>0</v>
      </c>
      <c r="M130" s="65" t="n">
        <f aca="false">IF(AND(Assumptions!M$204&gt;=Account_Register!$W$23,MOD(Assumptions!M$204-Account_Register!$W$23,12)=11),MAX(0,M46-M67),0)</f>
        <v>0</v>
      </c>
      <c r="N130" s="65" t="n">
        <f aca="false">IF(AND(Assumptions!N$204&gt;=Account_Register!$W$23,MOD(Assumptions!N$204-Account_Register!$W$23,12)=11),MAX(0,N46-N67),0)</f>
        <v>0</v>
      </c>
      <c r="O130" s="65" t="n">
        <f aca="false">IF(AND(Assumptions!O$204&gt;=Account_Register!$W$23,MOD(Assumptions!O$204-Account_Register!$W$23,12)=11),MAX(0,O46-O67),0)</f>
        <v>0</v>
      </c>
      <c r="P130" s="65" t="n">
        <f aca="false">IF(AND(Assumptions!P$204&gt;=Account_Register!$W$23,MOD(Assumptions!P$204-Account_Register!$W$23,12)=11),MAX(0,P46-P67),0)</f>
        <v>0</v>
      </c>
      <c r="Q130" s="65" t="n">
        <f aca="false">IF(AND(Assumptions!Q$204&gt;=Account_Register!$W$23,MOD(Assumptions!Q$204-Account_Register!$W$23,12)=11),MAX(0,Q46-Q67),0)</f>
        <v>0</v>
      </c>
      <c r="R130" s="65" t="n">
        <f aca="false">IF(AND(Assumptions!R$204&gt;=Account_Register!$W$23,MOD(Assumptions!R$204-Account_Register!$W$23,12)=11),MAX(0,R46-R67),0)</f>
        <v>0</v>
      </c>
      <c r="S130" s="65" t="n">
        <f aca="false">IF(AND(Assumptions!S$204&gt;=Account_Register!$W$23,MOD(Assumptions!S$204-Account_Register!$W$23,12)=11),MAX(0,S46-S67),0)</f>
        <v>0</v>
      </c>
      <c r="T130" s="65" t="n">
        <f aca="false">IF(AND(Assumptions!T$204&gt;=Account_Register!$W$23,MOD(Assumptions!T$204-Account_Register!$W$23,12)=11),MAX(0,T46-T67),0)</f>
        <v>0</v>
      </c>
      <c r="U130" s="65" t="n">
        <f aca="false">IF(AND(Assumptions!U$204&gt;=Account_Register!$W$23,MOD(Assumptions!U$204-Account_Register!$W$23,12)=11),MAX(0,U46-U67),0)</f>
        <v>0</v>
      </c>
      <c r="V130" s="65" t="n">
        <f aca="false">IF(AND(Assumptions!V$204&gt;=Account_Register!$W$23,MOD(Assumptions!V$204-Account_Register!$W$23,12)=11),MAX(0,V46-V67),0)</f>
        <v>0</v>
      </c>
      <c r="W130" s="65" t="n">
        <f aca="false">IF(AND(Assumptions!W$204&gt;=Account_Register!$W$23,MOD(Assumptions!W$204-Account_Register!$W$23,12)=11),MAX(0,W46-W67),0)</f>
        <v>0</v>
      </c>
      <c r="X130" s="65" t="n">
        <f aca="false">IF(AND(Assumptions!X$204&gt;=Account_Register!$W$23,MOD(Assumptions!X$204-Account_Register!$W$23,12)=11),MAX(0,X46-X67),0)</f>
        <v>0</v>
      </c>
      <c r="Y130" s="65" t="n">
        <f aca="false">IF(AND(Assumptions!Y$204&gt;=Account_Register!$W$23,MOD(Assumptions!Y$204-Account_Register!$W$23,12)=11),MAX(0,Y46-Y67),0)</f>
        <v>0</v>
      </c>
      <c r="Z130" s="65" t="n">
        <f aca="false">IF(AND(Assumptions!Z$204&gt;=Account_Register!$W$23,MOD(Assumptions!Z$204-Account_Register!$W$23,12)=11),MAX(0,Z46-Z67),0)</f>
        <v>0</v>
      </c>
      <c r="AA130" s="65" t="n">
        <f aca="false">IF(AND(Assumptions!AA$204&gt;=Account_Register!$W$23,MOD(Assumptions!AA$204-Account_Register!$W$23,12)=11),MAX(0,AA46-AA67),0)</f>
        <v>40259.6809837771</v>
      </c>
      <c r="AB130" s="65" t="n">
        <f aca="false">IF(AND(Assumptions!AB$204&gt;=Account_Register!$W$23,MOD(Assumptions!AB$204-Account_Register!$W$23,12)=11),MAX(0,AB46-AB67),0)</f>
        <v>0</v>
      </c>
    </row>
    <row r="131" customFormat="false" ht="15" hidden="false" customHeight="false" outlineLevel="0" collapsed="false">
      <c r="A131" s="28" t="s">
        <v>931</v>
      </c>
      <c r="B131" s="62"/>
      <c r="C131" s="64" t="n">
        <f aca="false">SUM(E131:P131)</f>
        <v>0</v>
      </c>
      <c r="D131" s="64" t="n">
        <f aca="false">SUM(Q131:AB131)</f>
        <v>0</v>
      </c>
      <c r="E131" s="65" t="n">
        <f aca="false">IF(AND(Assumptions!E$204&gt;=Account_Register!$W$24,MOD(Assumptions!E$204-Account_Register!$W$24,12)=11),MAX(0,E47-E68),0)</f>
        <v>0</v>
      </c>
      <c r="F131" s="65" t="n">
        <f aca="false">IF(AND(Assumptions!F$204&gt;=Account_Register!$W$24,MOD(Assumptions!F$204-Account_Register!$W$24,12)=11),MAX(0,F47-F68),0)</f>
        <v>0</v>
      </c>
      <c r="G131" s="65" t="n">
        <f aca="false">IF(AND(Assumptions!G$204&gt;=Account_Register!$W$24,MOD(Assumptions!G$204-Account_Register!$W$24,12)=11),MAX(0,G47-G68),0)</f>
        <v>0</v>
      </c>
      <c r="H131" s="65" t="n">
        <f aca="false">IF(AND(Assumptions!H$204&gt;=Account_Register!$W$24,MOD(Assumptions!H$204-Account_Register!$W$24,12)=11),MAX(0,H47-H68),0)</f>
        <v>0</v>
      </c>
      <c r="I131" s="65" t="n">
        <f aca="false">IF(AND(Assumptions!I$204&gt;=Account_Register!$W$24,MOD(Assumptions!I$204-Account_Register!$W$24,12)=11),MAX(0,I47-I68),0)</f>
        <v>0</v>
      </c>
      <c r="J131" s="65" t="n">
        <f aca="false">IF(AND(Assumptions!J$204&gt;=Account_Register!$W$24,MOD(Assumptions!J$204-Account_Register!$W$24,12)=11),MAX(0,J47-J68),0)</f>
        <v>0</v>
      </c>
      <c r="K131" s="65" t="n">
        <f aca="false">IF(AND(Assumptions!K$204&gt;=Account_Register!$W$24,MOD(Assumptions!K$204-Account_Register!$W$24,12)=11),MAX(0,K47-K68),0)</f>
        <v>0</v>
      </c>
      <c r="L131" s="65" t="n">
        <f aca="false">IF(AND(Assumptions!L$204&gt;=Account_Register!$W$24,MOD(Assumptions!L$204-Account_Register!$W$24,12)=11),MAX(0,L47-L68),0)</f>
        <v>0</v>
      </c>
      <c r="M131" s="65" t="n">
        <f aca="false">IF(AND(Assumptions!M$204&gt;=Account_Register!$W$24,MOD(Assumptions!M$204-Account_Register!$W$24,12)=11),MAX(0,M47-M68),0)</f>
        <v>0</v>
      </c>
      <c r="N131" s="65" t="n">
        <f aca="false">IF(AND(Assumptions!N$204&gt;=Account_Register!$W$24,MOD(Assumptions!N$204-Account_Register!$W$24,12)=11),MAX(0,N47-N68),0)</f>
        <v>0</v>
      </c>
      <c r="O131" s="65" t="n">
        <f aca="false">IF(AND(Assumptions!O$204&gt;=Account_Register!$W$24,MOD(Assumptions!O$204-Account_Register!$W$24,12)=11),MAX(0,O47-O68),0)</f>
        <v>0</v>
      </c>
      <c r="P131" s="65" t="n">
        <f aca="false">IF(AND(Assumptions!P$204&gt;=Account_Register!$W$24,MOD(Assumptions!P$204-Account_Register!$W$24,12)=11),MAX(0,P47-P68),0)</f>
        <v>0</v>
      </c>
      <c r="Q131" s="65" t="n">
        <f aca="false">IF(AND(Assumptions!Q$204&gt;=Account_Register!$W$24,MOD(Assumptions!Q$204-Account_Register!$W$24,12)=11),MAX(0,Q47-Q68),0)</f>
        <v>0</v>
      </c>
      <c r="R131" s="65" t="n">
        <f aca="false">IF(AND(Assumptions!R$204&gt;=Account_Register!$W$24,MOD(Assumptions!R$204-Account_Register!$W$24,12)=11),MAX(0,R47-R68),0)</f>
        <v>0</v>
      </c>
      <c r="S131" s="65" t="n">
        <f aca="false">IF(AND(Assumptions!S$204&gt;=Account_Register!$W$24,MOD(Assumptions!S$204-Account_Register!$W$24,12)=11),MAX(0,S47-S68),0)</f>
        <v>0</v>
      </c>
      <c r="T131" s="65" t="n">
        <f aca="false">IF(AND(Assumptions!T$204&gt;=Account_Register!$W$24,MOD(Assumptions!T$204-Account_Register!$W$24,12)=11),MAX(0,T47-T68),0)</f>
        <v>0</v>
      </c>
      <c r="U131" s="65" t="n">
        <f aca="false">IF(AND(Assumptions!U$204&gt;=Account_Register!$W$24,MOD(Assumptions!U$204-Account_Register!$W$24,12)=11),MAX(0,U47-U68),0)</f>
        <v>0</v>
      </c>
      <c r="V131" s="65" t="n">
        <f aca="false">IF(AND(Assumptions!V$204&gt;=Account_Register!$W$24,MOD(Assumptions!V$204-Account_Register!$W$24,12)=11),MAX(0,V47-V68),0)</f>
        <v>0</v>
      </c>
      <c r="W131" s="65" t="n">
        <f aca="false">IF(AND(Assumptions!W$204&gt;=Account_Register!$W$24,MOD(Assumptions!W$204-Account_Register!$W$24,12)=11),MAX(0,W47-W68),0)</f>
        <v>0</v>
      </c>
      <c r="X131" s="65" t="n">
        <f aca="false">IF(AND(Assumptions!X$204&gt;=Account_Register!$W$24,MOD(Assumptions!X$204-Account_Register!$W$24,12)=11),MAX(0,X47-X68),0)</f>
        <v>0</v>
      </c>
      <c r="Y131" s="65" t="n">
        <f aca="false">IF(AND(Assumptions!Y$204&gt;=Account_Register!$W$24,MOD(Assumptions!Y$204-Account_Register!$W$24,12)=11),MAX(0,Y47-Y68),0)</f>
        <v>0</v>
      </c>
      <c r="Z131" s="65" t="n">
        <f aca="false">IF(AND(Assumptions!Z$204&gt;=Account_Register!$W$24,MOD(Assumptions!Z$204-Account_Register!$W$24,12)=11),MAX(0,Z47-Z68),0)</f>
        <v>0</v>
      </c>
      <c r="AA131" s="65" t="n">
        <f aca="false">IF(AND(Assumptions!AA$204&gt;=Account_Register!$W$24,MOD(Assumptions!AA$204-Account_Register!$W$24,12)=11),MAX(0,AA47-AA68),0)</f>
        <v>0</v>
      </c>
      <c r="AB131" s="65" t="n">
        <f aca="false">IF(AND(Assumptions!AB$204&gt;=Account_Register!$W$24,MOD(Assumptions!AB$204-Account_Register!$W$24,12)=11),MAX(0,AB47-AB68),0)</f>
        <v>0</v>
      </c>
    </row>
    <row r="132" customFormat="false" ht="15" hidden="false" customHeight="false" outlineLevel="0" collapsed="false">
      <c r="A132" s="28" t="s">
        <v>932</v>
      </c>
      <c r="B132" s="62"/>
      <c r="C132" s="64" t="n">
        <f aca="false">SUM(E132:P132)</f>
        <v>0</v>
      </c>
      <c r="D132" s="64" t="n">
        <f aca="false">SUM(Q132:AB132)</f>
        <v>0</v>
      </c>
      <c r="E132" s="65" t="n">
        <f aca="false">IF(AND(Assumptions!E$204&gt;=Account_Register!$W$25,MOD(Assumptions!E$204-Account_Register!$W$25,12)=11),MAX(0,E48-E69),0)</f>
        <v>0</v>
      </c>
      <c r="F132" s="65" t="n">
        <f aca="false">IF(AND(Assumptions!F$204&gt;=Account_Register!$W$25,MOD(Assumptions!F$204-Account_Register!$W$25,12)=11),MAX(0,F48-F69),0)</f>
        <v>0</v>
      </c>
      <c r="G132" s="65" t="n">
        <f aca="false">IF(AND(Assumptions!G$204&gt;=Account_Register!$W$25,MOD(Assumptions!G$204-Account_Register!$W$25,12)=11),MAX(0,G48-G69),0)</f>
        <v>0</v>
      </c>
      <c r="H132" s="65" t="n">
        <f aca="false">IF(AND(Assumptions!H$204&gt;=Account_Register!$W$25,MOD(Assumptions!H$204-Account_Register!$W$25,12)=11),MAX(0,H48-H69),0)</f>
        <v>0</v>
      </c>
      <c r="I132" s="65" t="n">
        <f aca="false">IF(AND(Assumptions!I$204&gt;=Account_Register!$W$25,MOD(Assumptions!I$204-Account_Register!$W$25,12)=11),MAX(0,I48-I69),0)</f>
        <v>0</v>
      </c>
      <c r="J132" s="65" t="n">
        <f aca="false">IF(AND(Assumptions!J$204&gt;=Account_Register!$W$25,MOD(Assumptions!J$204-Account_Register!$W$25,12)=11),MAX(0,J48-J69),0)</f>
        <v>0</v>
      </c>
      <c r="K132" s="65" t="n">
        <f aca="false">IF(AND(Assumptions!K$204&gt;=Account_Register!$W$25,MOD(Assumptions!K$204-Account_Register!$W$25,12)=11),MAX(0,K48-K69),0)</f>
        <v>0</v>
      </c>
      <c r="L132" s="65" t="n">
        <f aca="false">IF(AND(Assumptions!L$204&gt;=Account_Register!$W$25,MOD(Assumptions!L$204-Account_Register!$W$25,12)=11),MAX(0,L48-L69),0)</f>
        <v>0</v>
      </c>
      <c r="M132" s="65" t="n">
        <f aca="false">IF(AND(Assumptions!M$204&gt;=Account_Register!$W$25,MOD(Assumptions!M$204-Account_Register!$W$25,12)=11),MAX(0,M48-M69),0)</f>
        <v>0</v>
      </c>
      <c r="N132" s="65" t="n">
        <f aca="false">IF(AND(Assumptions!N$204&gt;=Account_Register!$W$25,MOD(Assumptions!N$204-Account_Register!$W$25,12)=11),MAX(0,N48-N69),0)</f>
        <v>0</v>
      </c>
      <c r="O132" s="65" t="n">
        <f aca="false">IF(AND(Assumptions!O$204&gt;=Account_Register!$W$25,MOD(Assumptions!O$204-Account_Register!$W$25,12)=11),MAX(0,O48-O69),0)</f>
        <v>0</v>
      </c>
      <c r="P132" s="65" t="n">
        <f aca="false">IF(AND(Assumptions!P$204&gt;=Account_Register!$W$25,MOD(Assumptions!P$204-Account_Register!$W$25,12)=11),MAX(0,P48-P69),0)</f>
        <v>0</v>
      </c>
      <c r="Q132" s="65" t="n">
        <f aca="false">IF(AND(Assumptions!Q$204&gt;=Account_Register!$W$25,MOD(Assumptions!Q$204-Account_Register!$W$25,12)=11),MAX(0,Q48-Q69),0)</f>
        <v>0</v>
      </c>
      <c r="R132" s="65" t="n">
        <f aca="false">IF(AND(Assumptions!R$204&gt;=Account_Register!$W$25,MOD(Assumptions!R$204-Account_Register!$W$25,12)=11),MAX(0,R48-R69),0)</f>
        <v>0</v>
      </c>
      <c r="S132" s="65" t="n">
        <f aca="false">IF(AND(Assumptions!S$204&gt;=Account_Register!$W$25,MOD(Assumptions!S$204-Account_Register!$W$25,12)=11),MAX(0,S48-S69),0)</f>
        <v>0</v>
      </c>
      <c r="T132" s="65" t="n">
        <f aca="false">IF(AND(Assumptions!T$204&gt;=Account_Register!$W$25,MOD(Assumptions!T$204-Account_Register!$W$25,12)=11),MAX(0,T48-T69),0)</f>
        <v>0</v>
      </c>
      <c r="U132" s="65" t="n">
        <f aca="false">IF(AND(Assumptions!U$204&gt;=Account_Register!$W$25,MOD(Assumptions!U$204-Account_Register!$W$25,12)=11),MAX(0,U48-U69),0)</f>
        <v>0</v>
      </c>
      <c r="V132" s="65" t="n">
        <f aca="false">IF(AND(Assumptions!V$204&gt;=Account_Register!$W$25,MOD(Assumptions!V$204-Account_Register!$W$25,12)=11),MAX(0,V48-V69),0)</f>
        <v>0</v>
      </c>
      <c r="W132" s="65" t="n">
        <f aca="false">IF(AND(Assumptions!W$204&gt;=Account_Register!$W$25,MOD(Assumptions!W$204-Account_Register!$W$25,12)=11),MAX(0,W48-W69),0)</f>
        <v>0</v>
      </c>
      <c r="X132" s="65" t="n">
        <f aca="false">IF(AND(Assumptions!X$204&gt;=Account_Register!$W$25,MOD(Assumptions!X$204-Account_Register!$W$25,12)=11),MAX(0,X48-X69),0)</f>
        <v>0</v>
      </c>
      <c r="Y132" s="65" t="n">
        <f aca="false">IF(AND(Assumptions!Y$204&gt;=Account_Register!$W$25,MOD(Assumptions!Y$204-Account_Register!$W$25,12)=11),MAX(0,Y48-Y69),0)</f>
        <v>0</v>
      </c>
      <c r="Z132" s="65" t="n">
        <f aca="false">IF(AND(Assumptions!Z$204&gt;=Account_Register!$W$25,MOD(Assumptions!Z$204-Account_Register!$W$25,12)=11),MAX(0,Z48-Z69),0)</f>
        <v>0</v>
      </c>
      <c r="AA132" s="65" t="n">
        <f aca="false">IF(AND(Assumptions!AA$204&gt;=Account_Register!$W$25,MOD(Assumptions!AA$204-Account_Register!$W$25,12)=11),MAX(0,AA48-AA69),0)</f>
        <v>0</v>
      </c>
      <c r="AB132" s="65" t="n">
        <f aca="false">IF(AND(Assumptions!AB$204&gt;=Account_Register!$W$25,MOD(Assumptions!AB$204-Account_Register!$W$25,12)=11),MAX(0,AB48-AB69),0)</f>
        <v>0</v>
      </c>
    </row>
    <row r="133" customFormat="false" ht="15" hidden="false" customHeight="false" outlineLevel="0" collapsed="false">
      <c r="A133" s="28" t="s">
        <v>933</v>
      </c>
      <c r="B133" s="62"/>
      <c r="C133" s="64" t="n">
        <f aca="false">SUM(E133:P133)</f>
        <v>0</v>
      </c>
      <c r="D133" s="64" t="n">
        <f aca="false">SUM(Q133:AB133)</f>
        <v>0</v>
      </c>
      <c r="E133" s="65" t="n">
        <f aca="false">IF(AND(Assumptions!E$204&gt;=Account_Register!$W$26,MOD(Assumptions!E$204-Account_Register!$W$26,12)=11),MAX(0,E49-E70),0)</f>
        <v>0</v>
      </c>
      <c r="F133" s="65" t="n">
        <f aca="false">IF(AND(Assumptions!F$204&gt;=Account_Register!$W$26,MOD(Assumptions!F$204-Account_Register!$W$26,12)=11),MAX(0,F49-F70),0)</f>
        <v>0</v>
      </c>
      <c r="G133" s="65" t="n">
        <f aca="false">IF(AND(Assumptions!G$204&gt;=Account_Register!$W$26,MOD(Assumptions!G$204-Account_Register!$W$26,12)=11),MAX(0,G49-G70),0)</f>
        <v>0</v>
      </c>
      <c r="H133" s="65" t="n">
        <f aca="false">IF(AND(Assumptions!H$204&gt;=Account_Register!$W$26,MOD(Assumptions!H$204-Account_Register!$W$26,12)=11),MAX(0,H49-H70),0)</f>
        <v>0</v>
      </c>
      <c r="I133" s="65" t="n">
        <f aca="false">IF(AND(Assumptions!I$204&gt;=Account_Register!$W$26,MOD(Assumptions!I$204-Account_Register!$W$26,12)=11),MAX(0,I49-I70),0)</f>
        <v>0</v>
      </c>
      <c r="J133" s="65" t="n">
        <f aca="false">IF(AND(Assumptions!J$204&gt;=Account_Register!$W$26,MOD(Assumptions!J$204-Account_Register!$W$26,12)=11),MAX(0,J49-J70),0)</f>
        <v>0</v>
      </c>
      <c r="K133" s="65" t="n">
        <f aca="false">IF(AND(Assumptions!K$204&gt;=Account_Register!$W$26,MOD(Assumptions!K$204-Account_Register!$W$26,12)=11),MAX(0,K49-K70),0)</f>
        <v>0</v>
      </c>
      <c r="L133" s="65" t="n">
        <f aca="false">IF(AND(Assumptions!L$204&gt;=Account_Register!$W$26,MOD(Assumptions!L$204-Account_Register!$W$26,12)=11),MAX(0,L49-L70),0)</f>
        <v>0</v>
      </c>
      <c r="M133" s="65" t="n">
        <f aca="false">IF(AND(Assumptions!M$204&gt;=Account_Register!$W$26,MOD(Assumptions!M$204-Account_Register!$W$26,12)=11),MAX(0,M49-M70),0)</f>
        <v>0</v>
      </c>
      <c r="N133" s="65" t="n">
        <f aca="false">IF(AND(Assumptions!N$204&gt;=Account_Register!$W$26,MOD(Assumptions!N$204-Account_Register!$W$26,12)=11),MAX(0,N49-N70),0)</f>
        <v>0</v>
      </c>
      <c r="O133" s="65" t="n">
        <f aca="false">IF(AND(Assumptions!O$204&gt;=Account_Register!$W$26,MOD(Assumptions!O$204-Account_Register!$W$26,12)=11),MAX(0,O49-O70),0)</f>
        <v>0</v>
      </c>
      <c r="P133" s="65" t="n">
        <f aca="false">IF(AND(Assumptions!P$204&gt;=Account_Register!$W$26,MOD(Assumptions!P$204-Account_Register!$W$26,12)=11),MAX(0,P49-P70),0)</f>
        <v>0</v>
      </c>
      <c r="Q133" s="65" t="n">
        <f aca="false">IF(AND(Assumptions!Q$204&gt;=Account_Register!$W$26,MOD(Assumptions!Q$204-Account_Register!$W$26,12)=11),MAX(0,Q49-Q70),0)</f>
        <v>0</v>
      </c>
      <c r="R133" s="65" t="n">
        <f aca="false">IF(AND(Assumptions!R$204&gt;=Account_Register!$W$26,MOD(Assumptions!R$204-Account_Register!$W$26,12)=11),MAX(0,R49-R70),0)</f>
        <v>0</v>
      </c>
      <c r="S133" s="65" t="n">
        <f aca="false">IF(AND(Assumptions!S$204&gt;=Account_Register!$W$26,MOD(Assumptions!S$204-Account_Register!$W$26,12)=11),MAX(0,S49-S70),0)</f>
        <v>0</v>
      </c>
      <c r="T133" s="65" t="n">
        <f aca="false">IF(AND(Assumptions!T$204&gt;=Account_Register!$W$26,MOD(Assumptions!T$204-Account_Register!$W$26,12)=11),MAX(0,T49-T70),0)</f>
        <v>0</v>
      </c>
      <c r="U133" s="65" t="n">
        <f aca="false">IF(AND(Assumptions!U$204&gt;=Account_Register!$W$26,MOD(Assumptions!U$204-Account_Register!$W$26,12)=11),MAX(0,U49-U70),0)</f>
        <v>0</v>
      </c>
      <c r="V133" s="65" t="n">
        <f aca="false">IF(AND(Assumptions!V$204&gt;=Account_Register!$W$26,MOD(Assumptions!V$204-Account_Register!$W$26,12)=11),MAX(0,V49-V70),0)</f>
        <v>0</v>
      </c>
      <c r="W133" s="65" t="n">
        <f aca="false">IF(AND(Assumptions!W$204&gt;=Account_Register!$W$26,MOD(Assumptions!W$204-Account_Register!$W$26,12)=11),MAX(0,W49-W70),0)</f>
        <v>0</v>
      </c>
      <c r="X133" s="65" t="n">
        <f aca="false">IF(AND(Assumptions!X$204&gt;=Account_Register!$W$26,MOD(Assumptions!X$204-Account_Register!$W$26,12)=11),MAX(0,X49-X70),0)</f>
        <v>0</v>
      </c>
      <c r="Y133" s="65" t="n">
        <f aca="false">IF(AND(Assumptions!Y$204&gt;=Account_Register!$W$26,MOD(Assumptions!Y$204-Account_Register!$W$26,12)=11),MAX(0,Y49-Y70),0)</f>
        <v>0</v>
      </c>
      <c r="Z133" s="65" t="n">
        <f aca="false">IF(AND(Assumptions!Z$204&gt;=Account_Register!$W$26,MOD(Assumptions!Z$204-Account_Register!$W$26,12)=11),MAX(0,Z49-Z70),0)</f>
        <v>0</v>
      </c>
      <c r="AA133" s="65" t="n">
        <f aca="false">IF(AND(Assumptions!AA$204&gt;=Account_Register!$W$26,MOD(Assumptions!AA$204-Account_Register!$W$26,12)=11),MAX(0,AA49-AA70),0)</f>
        <v>0</v>
      </c>
      <c r="AB133" s="65" t="n">
        <f aca="false">IF(AND(Assumptions!AB$204&gt;=Account_Register!$W$26,MOD(Assumptions!AB$204-Account_Register!$W$26,12)=11),MAX(0,AB49-AB70),0)</f>
        <v>0</v>
      </c>
    </row>
    <row r="134" customFormat="false" ht="15" hidden="false" customHeight="false" outlineLevel="0" collapsed="false">
      <c r="A134" s="22" t="s">
        <v>938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customFormat="false" ht="15" hidden="false" customHeight="false" outlineLevel="0" collapsed="false">
      <c r="A135" s="28" t="s">
        <v>913</v>
      </c>
      <c r="B135" s="62"/>
      <c r="C135" s="64" t="n">
        <f aca="false">SUM(E135:P135)</f>
        <v>441437.396371097</v>
      </c>
      <c r="D135" s="64" t="n">
        <f aca="false">SUM(Q135:AB135)</f>
        <v>578727.764292366</v>
      </c>
      <c r="E135" s="73" t="n">
        <f aca="false">E9+E114</f>
        <v>29800.75</v>
      </c>
      <c r="F135" s="73" t="n">
        <f aca="false">F9+F114</f>
        <v>29817.31</v>
      </c>
      <c r="G135" s="73" t="n">
        <f aca="false">G9+G114</f>
        <v>29483.15</v>
      </c>
      <c r="H135" s="73" t="n">
        <f aca="false">H9+H114</f>
        <v>32358.22</v>
      </c>
      <c r="I135" s="73" t="n">
        <f aca="false">I9+I114</f>
        <v>33059.57</v>
      </c>
      <c r="J135" s="73" t="n">
        <f aca="false">J9+J114</f>
        <v>35682.11</v>
      </c>
      <c r="K135" s="73" t="n">
        <f aca="false">K9+K114</f>
        <v>40948.17</v>
      </c>
      <c r="L135" s="73" t="n">
        <f aca="false">L9+L114</f>
        <v>40247.35</v>
      </c>
      <c r="M135" s="73" t="n">
        <f aca="false">M9+M114</f>
        <v>41132.7917</v>
      </c>
      <c r="N135" s="73" t="n">
        <f aca="false">N9+N114</f>
        <v>42037.7131174</v>
      </c>
      <c r="O135" s="73" t="n">
        <f aca="false">O9+O114</f>
        <v>42962.5428059828</v>
      </c>
      <c r="P135" s="73" t="n">
        <f aca="false">P9+P114</f>
        <v>43907.7187477144</v>
      </c>
      <c r="Q135" s="73" t="n">
        <f aca="false">Q9+Q114</f>
        <v>44873.6885601641</v>
      </c>
      <c r="R135" s="73" t="n">
        <f aca="false">R9+R114</f>
        <v>45860.9097084878</v>
      </c>
      <c r="S135" s="73" t="n">
        <f aca="false">S9+S114</f>
        <v>46869.8497220745</v>
      </c>
      <c r="T135" s="73" t="n">
        <f aca="false">T9+T114</f>
        <v>47900.9864159601</v>
      </c>
      <c r="U135" s="73" t="n">
        <f aca="false">U9+U114</f>
        <v>48954.8081171112</v>
      </c>
      <c r="V135" s="73" t="n">
        <f aca="false">V9+V114</f>
        <v>46029.2687840327</v>
      </c>
      <c r="W135" s="73" t="n">
        <f aca="false">W9+W114</f>
        <v>47041.9126972814</v>
      </c>
      <c r="X135" s="73" t="n">
        <f aca="false">X9+X114</f>
        <v>48076.8347766216</v>
      </c>
      <c r="Y135" s="73" t="n">
        <f aca="false">Y9+Y114</f>
        <v>49134.5251417073</v>
      </c>
      <c r="Z135" s="73" t="n">
        <f aca="false">Z9+Z114</f>
        <v>50215.4846948248</v>
      </c>
      <c r="AA135" s="73" t="n">
        <f aca="false">AA9+AA114</f>
        <v>51320.225358111</v>
      </c>
      <c r="AB135" s="73" t="n">
        <f aca="false">AB9+AB114</f>
        <v>52449.2703159894</v>
      </c>
    </row>
    <row r="136" customFormat="false" ht="15" hidden="false" customHeight="false" outlineLevel="0" collapsed="false">
      <c r="A136" s="28" t="s">
        <v>915</v>
      </c>
      <c r="B136" s="62"/>
      <c r="C136" s="64" t="n">
        <f aca="false">SUM(E136:P136)</f>
        <v>283594.045882921</v>
      </c>
      <c r="D136" s="64" t="n">
        <f aca="false">SUM(Q136:AB136)</f>
        <v>277341.470052008</v>
      </c>
      <c r="E136" s="73" t="n">
        <f aca="false">E10+E115</f>
        <v>15637.85</v>
      </c>
      <c r="F136" s="73" t="n">
        <f aca="false">F10+F115</f>
        <v>15657.55</v>
      </c>
      <c r="G136" s="73" t="n">
        <f aca="false">G10+G115</f>
        <v>17732.24</v>
      </c>
      <c r="H136" s="73" t="n">
        <f aca="false">H10+H115</f>
        <v>16912.76</v>
      </c>
      <c r="I136" s="73" t="n">
        <f aca="false">I10+I115</f>
        <v>16561.97</v>
      </c>
      <c r="J136" s="73" t="n">
        <f aca="false">J10+J115</f>
        <v>19319.15</v>
      </c>
      <c r="K136" s="73" t="n">
        <f aca="false">K10+K115</f>
        <v>18345.87</v>
      </c>
      <c r="L136" s="73" t="n">
        <f aca="false">L10+L115</f>
        <v>18115.84</v>
      </c>
      <c r="M136" s="73" t="n">
        <f aca="false">M10+M115</f>
        <v>93397.41</v>
      </c>
      <c r="N136" s="73" t="n">
        <f aca="false">N10+N115</f>
        <v>16962.9479424</v>
      </c>
      <c r="O136" s="73" t="n">
        <f aca="false">O10+O115</f>
        <v>17302.206901248</v>
      </c>
      <c r="P136" s="73" t="n">
        <f aca="false">P10+P115</f>
        <v>17648.251039273</v>
      </c>
      <c r="Q136" s="73" t="n">
        <f aca="false">Q10+Q115</f>
        <v>18001.2160600584</v>
      </c>
      <c r="R136" s="73" t="n">
        <f aca="false">R10+R115</f>
        <v>18361.2403812596</v>
      </c>
      <c r="S136" s="73" t="n">
        <f aca="false">S10+S115</f>
        <v>18728.4651888848</v>
      </c>
      <c r="T136" s="73" t="n">
        <f aca="false">T10+T115</f>
        <v>19103.0344926625</v>
      </c>
      <c r="U136" s="73" t="n">
        <f aca="false">U10+U115</f>
        <v>19485.0951825157</v>
      </c>
      <c r="V136" s="73" t="n">
        <f aca="false">V10+V115</f>
        <v>19874.797086166</v>
      </c>
      <c r="W136" s="73" t="n">
        <f aca="false">W10+W115</f>
        <v>20272.2930278894</v>
      </c>
      <c r="X136" s="73" t="n">
        <f aca="false">X10+X115</f>
        <v>20677.7388884472</v>
      </c>
      <c r="Y136" s="73" t="n">
        <f aca="false">Y10+Y115</f>
        <v>63582.7138091954</v>
      </c>
      <c r="Z136" s="73" t="n">
        <f aca="false">Z10+Z115</f>
        <v>19361.8075855864</v>
      </c>
      <c r="AA136" s="73" t="n">
        <f aca="false">AA10+AA115</f>
        <v>19749.0437372981</v>
      </c>
      <c r="AB136" s="73" t="n">
        <f aca="false">AB10+AB115</f>
        <v>20144.0246120441</v>
      </c>
    </row>
    <row r="137" customFormat="false" ht="15" hidden="false" customHeight="false" outlineLevel="0" collapsed="false">
      <c r="A137" s="28" t="s">
        <v>916</v>
      </c>
      <c r="B137" s="62"/>
      <c r="C137" s="64" t="n">
        <f aca="false">SUM(E137:P137)</f>
        <v>388843.273290011</v>
      </c>
      <c r="D137" s="64" t="n">
        <f aca="false">SUM(Q137:AB137)</f>
        <v>451866.007439611</v>
      </c>
      <c r="E137" s="73" t="n">
        <f aca="false">E11+E116</f>
        <v>26851.15</v>
      </c>
      <c r="F137" s="73" t="n">
        <f aca="false">F11+F116</f>
        <v>27589.77</v>
      </c>
      <c r="G137" s="73" t="n">
        <f aca="false">G11+G116</f>
        <v>28650.36</v>
      </c>
      <c r="H137" s="73" t="n">
        <f aca="false">H11+H116</f>
        <v>30600.37</v>
      </c>
      <c r="I137" s="73" t="n">
        <f aca="false">I11+I116</f>
        <v>31839.71</v>
      </c>
      <c r="J137" s="73" t="n">
        <f aca="false">J11+J116</f>
        <v>30398.67</v>
      </c>
      <c r="K137" s="73" t="n">
        <f aca="false">K11+K116</f>
        <v>34924.96</v>
      </c>
      <c r="L137" s="73" t="n">
        <f aca="false">L11+L116</f>
        <v>34339</v>
      </c>
      <c r="M137" s="73" t="n">
        <f aca="false">M11+M116</f>
        <v>34957.102</v>
      </c>
      <c r="N137" s="73" t="n">
        <f aca="false">N11+N116</f>
        <v>35586.329836</v>
      </c>
      <c r="O137" s="73" t="n">
        <f aca="false">O11+O116</f>
        <v>36226.883773048</v>
      </c>
      <c r="P137" s="73" t="n">
        <f aca="false">P11+P116</f>
        <v>36878.9676809629</v>
      </c>
      <c r="Q137" s="73" t="n">
        <f aca="false">Q11+Q116</f>
        <v>37542.7890992202</v>
      </c>
      <c r="R137" s="73" t="n">
        <f aca="false">R11+R116</f>
        <v>34396.7033727055</v>
      </c>
      <c r="S137" s="73" t="n">
        <f aca="false">S11+S116</f>
        <v>35015.8440334142</v>
      </c>
      <c r="T137" s="73" t="n">
        <f aca="false">T11+T116</f>
        <v>35646.1292260157</v>
      </c>
      <c r="U137" s="73" t="n">
        <f aca="false">U11+U116</f>
        <v>36287.759552084</v>
      </c>
      <c r="V137" s="73" t="n">
        <f aca="false">V11+V116</f>
        <v>36940.9392240215</v>
      </c>
      <c r="W137" s="73" t="n">
        <f aca="false">W11+W116</f>
        <v>37605.8761300539</v>
      </c>
      <c r="X137" s="73" t="n">
        <f aca="false">X11+X116</f>
        <v>38282.7819003949</v>
      </c>
      <c r="Y137" s="73" t="n">
        <f aca="false">Y11+Y116</f>
        <v>38971.871974602</v>
      </c>
      <c r="Z137" s="73" t="n">
        <f aca="false">Z11+Z116</f>
        <v>39673.3656701448</v>
      </c>
      <c r="AA137" s="73" t="n">
        <f aca="false">AA11+AA116</f>
        <v>40387.4862522074</v>
      </c>
      <c r="AB137" s="73" t="n">
        <f aca="false">AB11+AB116</f>
        <v>41114.4610047471</v>
      </c>
    </row>
    <row r="138" customFormat="false" ht="15" hidden="false" customHeight="false" outlineLevel="0" collapsed="false">
      <c r="A138" s="28" t="s">
        <v>917</v>
      </c>
      <c r="B138" s="62"/>
      <c r="C138" s="64" t="n">
        <f aca="false">SUM(E138:P138)</f>
        <v>212412.101892998</v>
      </c>
      <c r="D138" s="64" t="n">
        <f aca="false">SUM(Q138:AB138)</f>
        <v>209530.504792801</v>
      </c>
      <c r="E138" s="73" t="n">
        <f aca="false">E12+E117</f>
        <v>13618.17</v>
      </c>
      <c r="F138" s="73" t="n">
        <f aca="false">F12+F117</f>
        <v>15121.65</v>
      </c>
      <c r="G138" s="73" t="n">
        <f aca="false">G12+G117</f>
        <v>45973.02</v>
      </c>
      <c r="H138" s="73" t="n">
        <f aca="false">H12+H117</f>
        <v>14753.92</v>
      </c>
      <c r="I138" s="73" t="n">
        <f aca="false">I12+I117</f>
        <v>15217.42</v>
      </c>
      <c r="J138" s="73" t="n">
        <f aca="false">J12+J117</f>
        <v>15745.31</v>
      </c>
      <c r="K138" s="73" t="n">
        <f aca="false">K12+K117</f>
        <v>16254.09</v>
      </c>
      <c r="L138" s="73" t="n">
        <f aca="false">L12+L117</f>
        <v>14639.43</v>
      </c>
      <c r="M138" s="73" t="n">
        <f aca="false">M12+M117</f>
        <v>14888.30031</v>
      </c>
      <c r="N138" s="73" t="n">
        <f aca="false">N12+N117</f>
        <v>15141.40141527</v>
      </c>
      <c r="O138" s="73" t="n">
        <f aca="false">O12+O117</f>
        <v>15398.8052393296</v>
      </c>
      <c r="P138" s="73" t="n">
        <f aca="false">P12+P117</f>
        <v>15660.5849283982</v>
      </c>
      <c r="Q138" s="73" t="n">
        <f aca="false">Q12+Q117</f>
        <v>15926.814872181</v>
      </c>
      <c r="R138" s="73" t="n">
        <f aca="false">R12+R117</f>
        <v>16197.570725008</v>
      </c>
      <c r="S138" s="73" t="n">
        <f aca="false">S12+S117</f>
        <v>40176.3525098132</v>
      </c>
      <c r="T138" s="73" t="n">
        <f aca="false">T12+T117</f>
        <v>14240.0238434582</v>
      </c>
      <c r="U138" s="73" t="n">
        <f aca="false">U12+U117</f>
        <v>14482.1042487969</v>
      </c>
      <c r="V138" s="73" t="n">
        <f aca="false">V12+V117</f>
        <v>14728.3000210265</v>
      </c>
      <c r="W138" s="73" t="n">
        <f aca="false">W12+W117</f>
        <v>14978.6811213839</v>
      </c>
      <c r="X138" s="73" t="n">
        <f aca="false">X12+X117</f>
        <v>15233.3187004475</v>
      </c>
      <c r="Y138" s="73" t="n">
        <f aca="false">Y12+Y117</f>
        <v>15492.2851183551</v>
      </c>
      <c r="Z138" s="73" t="n">
        <f aca="false">Z12+Z117</f>
        <v>15755.6539653671</v>
      </c>
      <c r="AA138" s="73" t="n">
        <f aca="false">AA12+AA117</f>
        <v>16023.5000827783</v>
      </c>
      <c r="AB138" s="73" t="n">
        <f aca="false">AB12+AB117</f>
        <v>16295.8995841856</v>
      </c>
    </row>
    <row r="139" customFormat="false" ht="15" hidden="false" customHeight="false" outlineLevel="0" collapsed="false">
      <c r="A139" s="28" t="s">
        <v>918</v>
      </c>
      <c r="B139" s="62"/>
      <c r="C139" s="64" t="n">
        <f aca="false">SUM(E139:P139)</f>
        <v>245079.358371477</v>
      </c>
      <c r="D139" s="64" t="n">
        <f aca="false">SUM(Q139:AB139)</f>
        <v>275838.15755163</v>
      </c>
      <c r="E139" s="73" t="n">
        <f aca="false">E13+E118</f>
        <v>15535.94</v>
      </c>
      <c r="F139" s="73" t="n">
        <f aca="false">F13+F118</f>
        <v>15857.13</v>
      </c>
      <c r="G139" s="73" t="n">
        <f aca="false">G13+G118</f>
        <v>15384.78</v>
      </c>
      <c r="H139" s="73" t="n">
        <f aca="false">H13+H118</f>
        <v>14057.72</v>
      </c>
      <c r="I139" s="73" t="n">
        <f aca="false">I13+I118</f>
        <v>14889.29</v>
      </c>
      <c r="J139" s="73" t="n">
        <f aca="false">J13+J118</f>
        <v>67832.45</v>
      </c>
      <c r="K139" s="73" t="n">
        <f aca="false">K13+K118</f>
        <v>15921.18</v>
      </c>
      <c r="L139" s="73" t="n">
        <f aca="false">L13+L118</f>
        <v>16481.85</v>
      </c>
      <c r="M139" s="73" t="n">
        <f aca="false">M13+M118</f>
        <v>16795.00515</v>
      </c>
      <c r="N139" s="73" t="n">
        <f aca="false">N13+N118</f>
        <v>17114.11024785</v>
      </c>
      <c r="O139" s="73" t="n">
        <f aca="false">O13+O118</f>
        <v>17439.2783425591</v>
      </c>
      <c r="P139" s="73" t="n">
        <f aca="false">P13+P118</f>
        <v>17770.6246310678</v>
      </c>
      <c r="Q139" s="73" t="n">
        <f aca="false">Q13+Q118</f>
        <v>18108.2664990581</v>
      </c>
      <c r="R139" s="73" t="n">
        <f aca="false">R13+R118</f>
        <v>18452.3235625402</v>
      </c>
      <c r="S139" s="73" t="n">
        <f aca="false">S13+S118</f>
        <v>18802.9177102284</v>
      </c>
      <c r="T139" s="73" t="n">
        <f aca="false">T13+T118</f>
        <v>19160.1731467228</v>
      </c>
      <c r="U139" s="73" t="n">
        <f aca="false">U13+U118</f>
        <v>19524.2164365105</v>
      </c>
      <c r="V139" s="73" t="n">
        <f aca="false">V13+V118</f>
        <v>64430.0542734633</v>
      </c>
      <c r="W139" s="73" t="n">
        <f aca="false">W13+W118</f>
        <v>18651.3301109729</v>
      </c>
      <c r="X139" s="73" t="n">
        <f aca="false">X13+X118</f>
        <v>19005.7053830814</v>
      </c>
      <c r="Y139" s="73" t="n">
        <f aca="false">Y13+Y118</f>
        <v>19366.81378536</v>
      </c>
      <c r="Z139" s="73" t="n">
        <f aca="false">Z13+Z118</f>
        <v>19734.7832472818</v>
      </c>
      <c r="AA139" s="73" t="n">
        <f aca="false">AA13+AA118</f>
        <v>20109.7441289802</v>
      </c>
      <c r="AB139" s="73" t="n">
        <f aca="false">AB13+AB118</f>
        <v>20491.8292674308</v>
      </c>
    </row>
    <row r="140" customFormat="false" ht="15" hidden="false" customHeight="false" outlineLevel="0" collapsed="false">
      <c r="A140" s="28" t="s">
        <v>919</v>
      </c>
      <c r="B140" s="62"/>
      <c r="C140" s="64" t="n">
        <f aca="false">SUM(E140:P140)</f>
        <v>222753.43635383</v>
      </c>
      <c r="D140" s="64" t="n">
        <f aca="false">SUM(Q140:AB140)</f>
        <v>221670.321193166</v>
      </c>
      <c r="E140" s="73" t="n">
        <f aca="false">E14+E119</f>
        <v>16513.61</v>
      </c>
      <c r="F140" s="73" t="n">
        <f aca="false">F14+F119</f>
        <v>16351.25</v>
      </c>
      <c r="G140" s="73" t="n">
        <f aca="false">G14+G119</f>
        <v>14443.59</v>
      </c>
      <c r="H140" s="73" t="n">
        <f aca="false">H14+H119</f>
        <v>14071.5</v>
      </c>
      <c r="I140" s="73" t="n">
        <f aca="false">I14+I119</f>
        <v>14501.88</v>
      </c>
      <c r="J140" s="73" t="n">
        <f aca="false">J14+J119</f>
        <v>14641.08</v>
      </c>
      <c r="K140" s="73" t="n">
        <f aca="false">K14+K119</f>
        <v>16459.22</v>
      </c>
      <c r="L140" s="73" t="n">
        <f aca="false">L14+L119</f>
        <v>51950.38</v>
      </c>
      <c r="M140" s="73" t="n">
        <f aca="false">M14+M119</f>
        <v>15577.370928</v>
      </c>
      <c r="N140" s="73" t="n">
        <f aca="false">N14+N119</f>
        <v>15826.608862848</v>
      </c>
      <c r="O140" s="73" t="n">
        <f aca="false">O14+O119</f>
        <v>16079.8346046536</v>
      </c>
      <c r="P140" s="73" t="n">
        <f aca="false">P14+P119</f>
        <v>16337.111958328</v>
      </c>
      <c r="Q140" s="73" t="n">
        <f aca="false">Q14+Q119</f>
        <v>16598.5057496613</v>
      </c>
      <c r="R140" s="73" t="n">
        <f aca="false">R14+R119</f>
        <v>16864.0818416559</v>
      </c>
      <c r="S140" s="73" t="n">
        <f aca="false">S14+S119</f>
        <v>17133.9071511224</v>
      </c>
      <c r="T140" s="73" t="n">
        <f aca="false">T14+T119</f>
        <v>17408.0496655403</v>
      </c>
      <c r="U140" s="73" t="n">
        <f aca="false">U14+U119</f>
        <v>17686.578460189</v>
      </c>
      <c r="V140" s="73" t="n">
        <f aca="false">V14+V119</f>
        <v>17969.563715552</v>
      </c>
      <c r="W140" s="73" t="n">
        <f aca="false">W14+W119</f>
        <v>18257.0767350008</v>
      </c>
      <c r="X140" s="73" t="n">
        <f aca="false">X14+X119</f>
        <v>30261.3103274489</v>
      </c>
      <c r="Y140" s="73" t="n">
        <f aca="false">Y14+Y119</f>
        <v>16961.3793019485</v>
      </c>
      <c r="Z140" s="73" t="n">
        <f aca="false">Z14+Z119</f>
        <v>17232.7613707797</v>
      </c>
      <c r="AA140" s="73" t="n">
        <f aca="false">AA14+AA119</f>
        <v>17508.4855527121</v>
      </c>
      <c r="AB140" s="73" t="n">
        <f aca="false">AB14+AB119</f>
        <v>17788.6213215555</v>
      </c>
    </row>
    <row r="141" customFormat="false" ht="15" hidden="false" customHeight="false" outlineLevel="0" collapsed="false">
      <c r="A141" s="28" t="s">
        <v>920</v>
      </c>
      <c r="B141" s="62"/>
      <c r="C141" s="64" t="n">
        <f aca="false">SUM(E141:P141)</f>
        <v>178103.630640251</v>
      </c>
      <c r="D141" s="64" t="n">
        <f aca="false">SUM(Q141:AB141)</f>
        <v>183950.276027687</v>
      </c>
      <c r="E141" s="73" t="n">
        <f aca="false">E15+E120</f>
        <v>14504.81</v>
      </c>
      <c r="F141" s="73" t="n">
        <f aca="false">F15+F120</f>
        <v>15192.8</v>
      </c>
      <c r="G141" s="73" t="n">
        <f aca="false">G15+G120</f>
        <v>14910.78</v>
      </c>
      <c r="H141" s="73" t="n">
        <f aca="false">H15+H120</f>
        <v>15331.01</v>
      </c>
      <c r="I141" s="73" t="n">
        <f aca="false">I15+I120</f>
        <v>16157.51</v>
      </c>
      <c r="J141" s="73" t="n">
        <f aca="false">J15+J120</f>
        <v>15547.9</v>
      </c>
      <c r="K141" s="73" t="n">
        <f aca="false">K15+K120</f>
        <v>15097.56</v>
      </c>
      <c r="L141" s="73" t="n">
        <f aca="false">L15+L120</f>
        <v>14357.32</v>
      </c>
      <c r="M141" s="73" t="n">
        <f aca="false">M15+M120</f>
        <v>14615.75176</v>
      </c>
      <c r="N141" s="73" t="n">
        <f aca="false">N15+N120</f>
        <v>14878.83529168</v>
      </c>
      <c r="O141" s="73" t="n">
        <f aca="false">O15+O120</f>
        <v>13631.9888942372</v>
      </c>
      <c r="P141" s="73" t="n">
        <f aca="false">P15+P120</f>
        <v>13877.3646943335</v>
      </c>
      <c r="Q141" s="73" t="n">
        <f aca="false">Q15+Q120</f>
        <v>14127.1572588315</v>
      </c>
      <c r="R141" s="73" t="n">
        <f aca="false">R15+R120</f>
        <v>14381.4460894905</v>
      </c>
      <c r="S141" s="73" t="n">
        <f aca="false">S15+S120</f>
        <v>14640.3121191013</v>
      </c>
      <c r="T141" s="73" t="n">
        <f aca="false">T15+T120</f>
        <v>14903.8377372451</v>
      </c>
      <c r="U141" s="73" t="n">
        <f aca="false">U15+U120</f>
        <v>15172.1068165155</v>
      </c>
      <c r="V141" s="73" t="n">
        <f aca="false">V15+V120</f>
        <v>15445.2047392128</v>
      </c>
      <c r="W141" s="73" t="n">
        <f aca="false">W15+W120</f>
        <v>15723.2184245186</v>
      </c>
      <c r="X141" s="73" t="n">
        <f aca="false">X15+X120</f>
        <v>16006.23635616</v>
      </c>
      <c r="Y141" s="73" t="n">
        <f aca="false">Y15+Y120</f>
        <v>16294.3486105708</v>
      </c>
      <c r="Z141" s="73" t="n">
        <f aca="false">Z15+Z120</f>
        <v>16587.6468855611</v>
      </c>
      <c r="AA141" s="73" t="n">
        <f aca="false">AA15+AA120</f>
        <v>15197.6020765511</v>
      </c>
      <c r="AB141" s="73" t="n">
        <f aca="false">AB15+AB120</f>
        <v>15471.158913929</v>
      </c>
    </row>
    <row r="142" customFormat="false" ht="15" hidden="false" customHeight="false" outlineLevel="0" collapsed="false">
      <c r="A142" s="28" t="s">
        <v>921</v>
      </c>
      <c r="B142" s="62"/>
      <c r="C142" s="64" t="n">
        <f aca="false">SUM(E142:P142)</f>
        <v>30369.41</v>
      </c>
      <c r="D142" s="64" t="n">
        <f aca="false">SUM(Q142:AB142)</f>
        <v>0</v>
      </c>
      <c r="E142" s="73" t="n">
        <f aca="false">E16+E121</f>
        <v>14735.88</v>
      </c>
      <c r="F142" s="73" t="n">
        <f aca="false">F16+F121</f>
        <v>15633.53</v>
      </c>
      <c r="G142" s="73" t="n">
        <f aca="false">G16+G121</f>
        <v>0</v>
      </c>
      <c r="H142" s="73" t="n">
        <f aca="false">H16+H121</f>
        <v>0</v>
      </c>
      <c r="I142" s="73" t="n">
        <f aca="false">I16+I121</f>
        <v>0</v>
      </c>
      <c r="J142" s="73" t="n">
        <f aca="false">J16+J121</f>
        <v>0</v>
      </c>
      <c r="K142" s="73" t="n">
        <f aca="false">K16+K121</f>
        <v>0</v>
      </c>
      <c r="L142" s="73" t="n">
        <f aca="false">L16+L121</f>
        <v>0</v>
      </c>
      <c r="M142" s="73" t="n">
        <f aca="false">M16+M121</f>
        <v>0</v>
      </c>
      <c r="N142" s="73" t="n">
        <f aca="false">N16+N121</f>
        <v>0</v>
      </c>
      <c r="O142" s="73" t="n">
        <f aca="false">O16+O121</f>
        <v>0</v>
      </c>
      <c r="P142" s="73" t="n">
        <f aca="false">P16+P121</f>
        <v>0</v>
      </c>
      <c r="Q142" s="73" t="n">
        <f aca="false">Q16+Q121</f>
        <v>0</v>
      </c>
      <c r="R142" s="73" t="n">
        <f aca="false">R16+R121</f>
        <v>0</v>
      </c>
      <c r="S142" s="73" t="n">
        <f aca="false">S16+S121</f>
        <v>0</v>
      </c>
      <c r="T142" s="73" t="n">
        <f aca="false">T16+T121</f>
        <v>0</v>
      </c>
      <c r="U142" s="73" t="n">
        <f aca="false">U16+U121</f>
        <v>0</v>
      </c>
      <c r="V142" s="73" t="n">
        <f aca="false">V16+V121</f>
        <v>0</v>
      </c>
      <c r="W142" s="73" t="n">
        <f aca="false">W16+W121</f>
        <v>0</v>
      </c>
      <c r="X142" s="73" t="n">
        <f aca="false">X16+X121</f>
        <v>0</v>
      </c>
      <c r="Y142" s="73" t="n">
        <f aca="false">Y16+Y121</f>
        <v>0</v>
      </c>
      <c r="Z142" s="73" t="n">
        <f aca="false">Z16+Z121</f>
        <v>0</v>
      </c>
      <c r="AA142" s="73" t="n">
        <f aca="false">AA16+AA121</f>
        <v>0</v>
      </c>
      <c r="AB142" s="73" t="n">
        <f aca="false">AB16+AB121</f>
        <v>0</v>
      </c>
    </row>
    <row r="143" customFormat="false" ht="15" hidden="false" customHeight="false" outlineLevel="0" collapsed="false">
      <c r="A143" s="28" t="s">
        <v>922</v>
      </c>
      <c r="B143" s="62"/>
      <c r="C143" s="64" t="n">
        <f aca="false">SUM(E143:P143)</f>
        <v>206076.81999007</v>
      </c>
      <c r="D143" s="64" t="n">
        <f aca="false">SUM(Q143:AB143)</f>
        <v>201705.245210419</v>
      </c>
      <c r="E143" s="73" t="n">
        <f aca="false">E17+E122</f>
        <v>51324.23</v>
      </c>
      <c r="F143" s="73" t="n">
        <f aca="false">F17+F122</f>
        <v>14800.59</v>
      </c>
      <c r="G143" s="73" t="n">
        <f aca="false">G17+G122</f>
        <v>13540.41</v>
      </c>
      <c r="H143" s="73" t="n">
        <f aca="false">H17+H122</f>
        <v>14387.44</v>
      </c>
      <c r="I143" s="73" t="n">
        <f aca="false">I17+I122</f>
        <v>14099.83</v>
      </c>
      <c r="J143" s="73" t="n">
        <f aca="false">J17+J122</f>
        <v>14001.45</v>
      </c>
      <c r="K143" s="73" t="n">
        <f aca="false">K17+K122</f>
        <v>15214.24</v>
      </c>
      <c r="L143" s="73" t="n">
        <f aca="false">L17+L122</f>
        <v>13202.94</v>
      </c>
      <c r="M143" s="73" t="n">
        <f aca="false">M17+M122</f>
        <v>13466.9988</v>
      </c>
      <c r="N143" s="73" t="n">
        <f aca="false">N17+N122</f>
        <v>13736.338776</v>
      </c>
      <c r="O143" s="73" t="n">
        <f aca="false">O17+O122</f>
        <v>14011.06555152</v>
      </c>
      <c r="P143" s="73" t="n">
        <f aca="false">P17+P122</f>
        <v>14291.2868625504</v>
      </c>
      <c r="Q143" s="73" t="n">
        <f aca="false">Q17+Q122</f>
        <v>35247.4100099296</v>
      </c>
      <c r="R143" s="73" t="n">
        <f aca="false">R17+R122</f>
        <v>13679.1624636536</v>
      </c>
      <c r="S143" s="73" t="n">
        <f aca="false">S17+S122</f>
        <v>13952.7457129267</v>
      </c>
      <c r="T143" s="73" t="n">
        <f aca="false">T17+T122</f>
        <v>14231.8006271853</v>
      </c>
      <c r="U143" s="73" t="n">
        <f aca="false">U17+U122</f>
        <v>14516.436639729</v>
      </c>
      <c r="V143" s="73" t="n">
        <f aca="false">V17+V122</f>
        <v>14806.7653725235</v>
      </c>
      <c r="W143" s="73" t="n">
        <f aca="false">W17+W122</f>
        <v>15102.900679974</v>
      </c>
      <c r="X143" s="73" t="n">
        <f aca="false">X17+X122</f>
        <v>15404.9586935735</v>
      </c>
      <c r="Y143" s="73" t="n">
        <f aca="false">Y17+Y122</f>
        <v>15713.057867445</v>
      </c>
      <c r="Z143" s="73" t="n">
        <f aca="false">Z17+Z122</f>
        <v>16027.3190247939</v>
      </c>
      <c r="AA143" s="73" t="n">
        <f aca="false">AA17+AA122</f>
        <v>16347.8654052897</v>
      </c>
      <c r="AB143" s="73" t="n">
        <f aca="false">AB17+AB122</f>
        <v>16674.8227133955</v>
      </c>
    </row>
    <row r="144" customFormat="false" ht="15" hidden="false" customHeight="false" outlineLevel="0" collapsed="false">
      <c r="A144" s="28" t="s">
        <v>923</v>
      </c>
      <c r="B144" s="62"/>
      <c r="C144" s="64" t="n">
        <f aca="false">SUM(E144:P144)</f>
        <v>222333.703495836</v>
      </c>
      <c r="D144" s="64" t="n">
        <f aca="false">SUM(Q144:AB144)</f>
        <v>250054.198671514</v>
      </c>
      <c r="E144" s="73" t="n">
        <f aca="false">E18+E123</f>
        <v>14886.68</v>
      </c>
      <c r="F144" s="73" t="n">
        <f aca="false">F18+F123</f>
        <v>15829.89</v>
      </c>
      <c r="G144" s="73" t="n">
        <f aca="false">G18+G123</f>
        <v>30296.39</v>
      </c>
      <c r="H144" s="73" t="n">
        <f aca="false">H18+H123</f>
        <v>17854.46</v>
      </c>
      <c r="I144" s="73" t="n">
        <f aca="false">I18+I123</f>
        <v>16031.1</v>
      </c>
      <c r="J144" s="73" t="n">
        <f aca="false">J18+J123</f>
        <v>15942.51</v>
      </c>
      <c r="K144" s="73" t="n">
        <f aca="false">K18+K123</f>
        <v>17063.09</v>
      </c>
      <c r="L144" s="73" t="n">
        <f aca="false">L18+L123</f>
        <v>18109.19</v>
      </c>
      <c r="M144" s="73" t="n">
        <f aca="false">M18+M123</f>
        <v>18489.48299</v>
      </c>
      <c r="N144" s="73" t="n">
        <f aca="false">N18+N123</f>
        <v>18877.76213279</v>
      </c>
      <c r="O144" s="73" t="n">
        <f aca="false">O18+O123</f>
        <v>19274.1951375786</v>
      </c>
      <c r="P144" s="73" t="n">
        <f aca="false">P18+P123</f>
        <v>19678.9532354677</v>
      </c>
      <c r="Q144" s="73" t="n">
        <f aca="false">Q18+Q123</f>
        <v>20092.2112534126</v>
      </c>
      <c r="R144" s="73" t="n">
        <f aca="false">R18+R123</f>
        <v>20514.1476897342</v>
      </c>
      <c r="S144" s="73" t="n">
        <f aca="false">S18+S123</f>
        <v>20944.9447912186</v>
      </c>
      <c r="T144" s="73" t="n">
        <f aca="false">T18+T123</f>
        <v>19246.3097686508</v>
      </c>
      <c r="U144" s="73" t="n">
        <f aca="false">U18+U123</f>
        <v>19650.4822737925</v>
      </c>
      <c r="V144" s="73" t="n">
        <f aca="false">V18+V123</f>
        <v>20063.1424015421</v>
      </c>
      <c r="W144" s="73" t="n">
        <f aca="false">W18+W123</f>
        <v>20484.4683919745</v>
      </c>
      <c r="X144" s="73" t="n">
        <f aca="false">X18+X123</f>
        <v>20914.642228206</v>
      </c>
      <c r="Y144" s="73" t="n">
        <f aca="false">Y18+Y123</f>
        <v>21353.8497149983</v>
      </c>
      <c r="Z144" s="73" t="n">
        <f aca="false">Z18+Z123</f>
        <v>21802.2805590132</v>
      </c>
      <c r="AA144" s="73" t="n">
        <f aca="false">AA18+AA123</f>
        <v>22260.1284507525</v>
      </c>
      <c r="AB144" s="73" t="n">
        <f aca="false">AB18+AB123</f>
        <v>22727.5911482183</v>
      </c>
    </row>
    <row r="145" customFormat="false" ht="15" hidden="false" customHeight="false" outlineLevel="0" collapsed="false">
      <c r="A145" s="28" t="s">
        <v>924</v>
      </c>
      <c r="B145" s="62"/>
      <c r="C145" s="64" t="n">
        <f aca="false">SUM(E145:P145)</f>
        <v>151564.374708677</v>
      </c>
      <c r="D145" s="64" t="n">
        <f aca="false">SUM(Q145:AB145)</f>
        <v>166776.090771317</v>
      </c>
      <c r="E145" s="73" t="n">
        <f aca="false">E19+E124</f>
        <v>8165.25</v>
      </c>
      <c r="F145" s="73" t="n">
        <f aca="false">F19+F124</f>
        <v>8260.2</v>
      </c>
      <c r="G145" s="73" t="n">
        <f aca="false">G19+G124</f>
        <v>8111.51</v>
      </c>
      <c r="H145" s="73" t="n">
        <f aca="false">H19+H124</f>
        <v>8549.4</v>
      </c>
      <c r="I145" s="73" t="n">
        <f aca="false">I19+I124</f>
        <v>35578.35</v>
      </c>
      <c r="J145" s="73" t="n">
        <f aca="false">J19+J124</f>
        <v>9997.67</v>
      </c>
      <c r="K145" s="73" t="n">
        <f aca="false">K19+K124</f>
        <v>10470.53</v>
      </c>
      <c r="L145" s="73" t="n">
        <f aca="false">L19+L124</f>
        <v>11996.73</v>
      </c>
      <c r="M145" s="73" t="n">
        <f aca="false">M19+M124</f>
        <v>12236.6646</v>
      </c>
      <c r="N145" s="73" t="n">
        <f aca="false">N19+N124</f>
        <v>12481.397892</v>
      </c>
      <c r="O145" s="73" t="n">
        <f aca="false">O19+O124</f>
        <v>12731.02584984</v>
      </c>
      <c r="P145" s="73" t="n">
        <f aca="false">P19+P124</f>
        <v>12985.6463668368</v>
      </c>
      <c r="Q145" s="73" t="n">
        <f aca="false">Q19+Q124</f>
        <v>13245.3592941735</v>
      </c>
      <c r="R145" s="73" t="n">
        <f aca="false">R19+R124</f>
        <v>13510.266480057</v>
      </c>
      <c r="S145" s="73" t="n">
        <f aca="false">S19+S124</f>
        <v>13780.4718096581</v>
      </c>
      <c r="T145" s="73" t="n">
        <f aca="false">T19+T124</f>
        <v>14056.0812458513</v>
      </c>
      <c r="U145" s="73" t="n">
        <f aca="false">U19+U124</f>
        <v>14337.2028707683</v>
      </c>
      <c r="V145" s="73" t="n">
        <f aca="false">V19+V124</f>
        <v>13161.5522353653</v>
      </c>
      <c r="W145" s="73" t="n">
        <f aca="false">W19+W124</f>
        <v>13424.7832800726</v>
      </c>
      <c r="X145" s="73" t="n">
        <f aca="false">X19+X124</f>
        <v>13693.2789456741</v>
      </c>
      <c r="Y145" s="73" t="n">
        <f aca="false">Y19+Y124</f>
        <v>13967.1445245876</v>
      </c>
      <c r="Z145" s="73" t="n">
        <f aca="false">Z19+Z124</f>
        <v>14246.4874150793</v>
      </c>
      <c r="AA145" s="73" t="n">
        <f aca="false">AA19+AA124</f>
        <v>14531.4171633809</v>
      </c>
      <c r="AB145" s="73" t="n">
        <f aca="false">AB19+AB124</f>
        <v>14822.0455066485</v>
      </c>
    </row>
    <row r="146" customFormat="false" ht="15" hidden="false" customHeight="false" outlineLevel="0" collapsed="false">
      <c r="A146" s="28" t="s">
        <v>925</v>
      </c>
      <c r="B146" s="62"/>
      <c r="C146" s="64" t="n">
        <f aca="false">SUM(E146:P146)</f>
        <v>158772.986964012</v>
      </c>
      <c r="D146" s="64" t="n">
        <f aca="false">SUM(Q146:AB146)</f>
        <v>162049.785605428</v>
      </c>
      <c r="E146" s="73" t="n">
        <f aca="false">E20+E125</f>
        <v>8967.86</v>
      </c>
      <c r="F146" s="73" t="n">
        <f aca="false">F20+F125</f>
        <v>10109.78</v>
      </c>
      <c r="G146" s="73" t="n">
        <f aca="false">G20+G125</f>
        <v>11122.33</v>
      </c>
      <c r="H146" s="73" t="n">
        <f aca="false">H20+H125</f>
        <v>11577.51</v>
      </c>
      <c r="I146" s="73" t="n">
        <f aca="false">I20+I125</f>
        <v>10637.55</v>
      </c>
      <c r="J146" s="73" t="n">
        <f aca="false">J20+J125</f>
        <v>12321.64</v>
      </c>
      <c r="K146" s="73" t="n">
        <f aca="false">K20+K125</f>
        <v>33928.66</v>
      </c>
      <c r="L146" s="73" t="n">
        <f aca="false">L20+L125</f>
        <v>11573.31</v>
      </c>
      <c r="M146" s="73" t="n">
        <f aca="false">M20+M125</f>
        <v>11793.20289</v>
      </c>
      <c r="N146" s="73" t="n">
        <f aca="false">N20+N125</f>
        <v>12017.27374491</v>
      </c>
      <c r="O146" s="73" t="n">
        <f aca="false">O20+O125</f>
        <v>12245.6019460633</v>
      </c>
      <c r="P146" s="73" t="n">
        <f aca="false">P20+P125</f>
        <v>12478.2683830385</v>
      </c>
      <c r="Q146" s="73" t="n">
        <f aca="false">Q20+Q125</f>
        <v>12715.3554823162</v>
      </c>
      <c r="R146" s="73" t="n">
        <f aca="false">R20+R125</f>
        <v>12956.9472364802</v>
      </c>
      <c r="S146" s="73" t="n">
        <f aca="false">S20+S125</f>
        <v>13203.1292339733</v>
      </c>
      <c r="T146" s="73" t="n">
        <f aca="false">T20+T125</f>
        <v>13453.9886894188</v>
      </c>
      <c r="U146" s="73" t="n">
        <f aca="false">U20+U125</f>
        <v>13709.6144745178</v>
      </c>
      <c r="V146" s="73" t="n">
        <f aca="false">V20+V125</f>
        <v>13970.0971495336</v>
      </c>
      <c r="W146" s="73" t="n">
        <f aca="false">W20+W125</f>
        <v>14235.5289953748</v>
      </c>
      <c r="X146" s="73" t="n">
        <f aca="false">X20+X125</f>
        <v>13055.4036416582</v>
      </c>
      <c r="Y146" s="73" t="n">
        <f aca="false">Y20+Y125</f>
        <v>13303.4563108497</v>
      </c>
      <c r="Z146" s="73" t="n">
        <f aca="false">Z20+Z125</f>
        <v>13556.2219807558</v>
      </c>
      <c r="AA146" s="73" t="n">
        <f aca="false">AA20+AA125</f>
        <v>13813.7901983902</v>
      </c>
      <c r="AB146" s="73" t="n">
        <f aca="false">AB20+AB125</f>
        <v>14076.2522121596</v>
      </c>
    </row>
    <row r="147" customFormat="false" ht="15" hidden="false" customHeight="false" outlineLevel="0" collapsed="false">
      <c r="A147" s="28" t="s">
        <v>926</v>
      </c>
      <c r="B147" s="62"/>
      <c r="C147" s="64" t="n">
        <f aca="false">SUM(E147:P147)</f>
        <v>154207.997143742</v>
      </c>
      <c r="D147" s="64" t="n">
        <f aca="false">SUM(Q147:AB147)</f>
        <v>153180.121801664</v>
      </c>
      <c r="E147" s="73" t="n">
        <f aca="false">E21+E126</f>
        <v>8782.1</v>
      </c>
      <c r="F147" s="73" t="n">
        <f aca="false">F21+F126</f>
        <v>8834.01</v>
      </c>
      <c r="G147" s="73" t="n">
        <f aca="false">G21+G126</f>
        <v>10290.06</v>
      </c>
      <c r="H147" s="73" t="n">
        <f aca="false">H21+H126</f>
        <v>9774.21</v>
      </c>
      <c r="I147" s="73" t="n">
        <f aca="false">I21+I126</f>
        <v>9471.24</v>
      </c>
      <c r="J147" s="73" t="n">
        <f aca="false">J21+J126</f>
        <v>9971.1</v>
      </c>
      <c r="K147" s="73" t="n">
        <f aca="false">K21+K126</f>
        <v>10424.99</v>
      </c>
      <c r="L147" s="73" t="n">
        <f aca="false">L21+L126</f>
        <v>10432.39</v>
      </c>
      <c r="M147" s="73" t="n">
        <f aca="false">M21+M126</f>
        <v>45487.17</v>
      </c>
      <c r="N147" s="73" t="n">
        <f aca="false">N21+N126</f>
        <v>10024.7472818192</v>
      </c>
      <c r="O147" s="73" t="n">
        <f aca="false">O21+O126</f>
        <v>10245.2917220192</v>
      </c>
      <c r="P147" s="73" t="n">
        <f aca="false">P21+P126</f>
        <v>10470.6881399036</v>
      </c>
      <c r="Q147" s="73" t="n">
        <f aca="false">Q21+Q126</f>
        <v>10701.0432789815</v>
      </c>
      <c r="R147" s="73" t="n">
        <f aca="false">R21+R126</f>
        <v>10936.4662311191</v>
      </c>
      <c r="S147" s="73" t="n">
        <f aca="false">S21+S126</f>
        <v>11177.0684882037</v>
      </c>
      <c r="T147" s="73" t="n">
        <f aca="false">T21+T126</f>
        <v>11422.9639949442</v>
      </c>
      <c r="U147" s="73" t="n">
        <f aca="false">U21+U126</f>
        <v>11674.269202833</v>
      </c>
      <c r="V147" s="73" t="n">
        <f aca="false">V21+V126</f>
        <v>11931.1031252953</v>
      </c>
      <c r="W147" s="73" t="n">
        <f aca="false">W21+W126</f>
        <v>12193.5873940518</v>
      </c>
      <c r="X147" s="73" t="n">
        <f aca="false">X21+X126</f>
        <v>12461.846316721</v>
      </c>
      <c r="Y147" s="73" t="n">
        <f aca="false">Y21+Y126</f>
        <v>23960.9248241082</v>
      </c>
      <c r="Z147" s="73" t="n">
        <f aca="false">Z21+Z126</f>
        <v>11974.9031612121</v>
      </c>
      <c r="AA147" s="73" t="n">
        <f aca="false">AA21+AA126</f>
        <v>12238.3510307587</v>
      </c>
      <c r="AB147" s="73" t="n">
        <f aca="false">AB21+AB126</f>
        <v>12507.5947534354</v>
      </c>
    </row>
    <row r="148" customFormat="false" ht="15" hidden="false" customHeight="false" outlineLevel="0" collapsed="false">
      <c r="A148" s="28" t="s">
        <v>927</v>
      </c>
      <c r="B148" s="62"/>
      <c r="C148" s="64" t="n">
        <f aca="false">SUM(E148:P148)</f>
        <v>113884.711271192</v>
      </c>
      <c r="D148" s="64" t="n">
        <f aca="false">SUM(Q148:AB148)</f>
        <v>275759.364280314</v>
      </c>
      <c r="E148" s="73" t="n">
        <f aca="false">E22+E127</f>
        <v>0</v>
      </c>
      <c r="F148" s="73" t="n">
        <f aca="false">F22+F127</f>
        <v>0</v>
      </c>
      <c r="G148" s="73" t="n">
        <f aca="false">G22+G127</f>
        <v>0</v>
      </c>
      <c r="H148" s="73" t="n">
        <f aca="false">H22+H127</f>
        <v>11000</v>
      </c>
      <c r="I148" s="73" t="n">
        <f aca="false">I22+I127</f>
        <v>11796.33</v>
      </c>
      <c r="J148" s="73" t="n">
        <f aca="false">J22+J127</f>
        <v>12698.99</v>
      </c>
      <c r="K148" s="73" t="n">
        <f aca="false">K22+K127</f>
        <v>11413.89</v>
      </c>
      <c r="L148" s="73" t="n">
        <f aca="false">L22+L127</f>
        <v>12511.62</v>
      </c>
      <c r="M148" s="73" t="n">
        <f aca="false">M22+M127</f>
        <v>13018.34061</v>
      </c>
      <c r="N148" s="73" t="n">
        <f aca="false">N22+N127</f>
        <v>13408.8908283</v>
      </c>
      <c r="O148" s="73" t="n">
        <f aca="false">O22+O127</f>
        <v>13811.157553149</v>
      </c>
      <c r="P148" s="73" t="n">
        <f aca="false">P22+P127</f>
        <v>14225.4922797435</v>
      </c>
      <c r="Q148" s="73" t="n">
        <f aca="false">Q22+Q127</f>
        <v>14652.2570481358</v>
      </c>
      <c r="R148" s="73" t="n">
        <f aca="false">R22+R127</f>
        <v>15091.8247595799</v>
      </c>
      <c r="S148" s="73" t="n">
        <f aca="false">S22+S127</f>
        <v>96371.2069210919</v>
      </c>
      <c r="T148" s="73" t="n">
        <f aca="false">T22+T127</f>
        <v>14730.0435364432</v>
      </c>
      <c r="U148" s="73" t="n">
        <f aca="false">U22+U127</f>
        <v>15171.9448425365</v>
      </c>
      <c r="V148" s="73" t="n">
        <f aca="false">V22+V127</f>
        <v>15627.1031878126</v>
      </c>
      <c r="W148" s="73" t="n">
        <f aca="false">W22+W127</f>
        <v>16095.916283447</v>
      </c>
      <c r="X148" s="73" t="n">
        <f aca="false">X22+X127</f>
        <v>16578.7937719504</v>
      </c>
      <c r="Y148" s="73" t="n">
        <f aca="false">Y22+Y127</f>
        <v>17076.1575851089</v>
      </c>
      <c r="Z148" s="73" t="n">
        <f aca="false">Z22+Z127</f>
        <v>17588.4423126622</v>
      </c>
      <c r="AA148" s="73" t="n">
        <f aca="false">AA22+AA127</f>
        <v>18116.095582042</v>
      </c>
      <c r="AB148" s="73" t="n">
        <f aca="false">AB22+AB127</f>
        <v>18659.5784495033</v>
      </c>
    </row>
    <row r="149" customFormat="false" ht="15" hidden="false" customHeight="false" outlineLevel="0" collapsed="false">
      <c r="A149" s="28" t="s">
        <v>928</v>
      </c>
      <c r="B149" s="62"/>
      <c r="C149" s="64" t="n">
        <f aca="false">SUM(E149:P149)</f>
        <v>99704.8178444242</v>
      </c>
      <c r="D149" s="64" t="n">
        <f aca="false">SUM(Q149:AB149)</f>
        <v>335901.846289622</v>
      </c>
      <c r="E149" s="73" t="n">
        <f aca="false">E23+E128</f>
        <v>0</v>
      </c>
      <c r="F149" s="73" t="n">
        <f aca="false">F23+F128</f>
        <v>0</v>
      </c>
      <c r="G149" s="73" t="n">
        <f aca="false">G23+G128</f>
        <v>0</v>
      </c>
      <c r="H149" s="73" t="n">
        <f aca="false">H23+H128</f>
        <v>0</v>
      </c>
      <c r="I149" s="73" t="n">
        <f aca="false">I23+I128</f>
        <v>0</v>
      </c>
      <c r="J149" s="73" t="n">
        <f aca="false">J23+J128</f>
        <v>0</v>
      </c>
      <c r="K149" s="73" t="n">
        <f aca="false">K23+K128</f>
        <v>14000</v>
      </c>
      <c r="L149" s="73" t="n">
        <f aca="false">L23+L128</f>
        <v>15807.63</v>
      </c>
      <c r="M149" s="73" t="n">
        <f aca="false">M23+M128</f>
        <v>16447.839015</v>
      </c>
      <c r="N149" s="73" t="n">
        <f aca="false">N23+N128</f>
        <v>17113.9764951075</v>
      </c>
      <c r="O149" s="73" t="n">
        <f aca="false">O23+O128</f>
        <v>17807.0925431594</v>
      </c>
      <c r="P149" s="73" t="n">
        <f aca="false">P23+P128</f>
        <v>18528.2797911573</v>
      </c>
      <c r="Q149" s="73" t="n">
        <f aca="false">Q23+Q128</f>
        <v>19084.128184892</v>
      </c>
      <c r="R149" s="73" t="n">
        <f aca="false">R23+R128</f>
        <v>19656.6520304388</v>
      </c>
      <c r="S149" s="73" t="n">
        <f aca="false">S23+S128</f>
        <v>20246.3515913519</v>
      </c>
      <c r="T149" s="73" t="n">
        <f aca="false">T23+T128</f>
        <v>20853.7421390925</v>
      </c>
      <c r="U149" s="73" t="n">
        <f aca="false">U23+U128</f>
        <v>21479.3544032653</v>
      </c>
      <c r="V149" s="73" t="n">
        <f aca="false">V23+V128</f>
        <v>98974.9538065353</v>
      </c>
      <c r="W149" s="73" t="n">
        <f aca="false">W23+W128</f>
        <v>20964.4513195102</v>
      </c>
      <c r="X149" s="73" t="n">
        <f aca="false">X23+X128</f>
        <v>21593.3848590955</v>
      </c>
      <c r="Y149" s="73" t="n">
        <f aca="false">Y23+Y128</f>
        <v>22241.1864048684</v>
      </c>
      <c r="Z149" s="73" t="n">
        <f aca="false">Z23+Z128</f>
        <v>22908.4219970144</v>
      </c>
      <c r="AA149" s="73" t="n">
        <f aca="false">AA23+AA128</f>
        <v>23595.6746569249</v>
      </c>
      <c r="AB149" s="73" t="n">
        <f aca="false">AB23+AB128</f>
        <v>24303.5448966326</v>
      </c>
    </row>
    <row r="150" customFormat="false" ht="15" hidden="false" customHeight="false" outlineLevel="0" collapsed="false">
      <c r="A150" s="28" t="s">
        <v>929</v>
      </c>
      <c r="B150" s="62"/>
      <c r="C150" s="64" t="n">
        <f aca="false">SUM(E150:P150)</f>
        <v>18180.855</v>
      </c>
      <c r="D150" s="64" t="n">
        <f aca="false">SUM(Q150:AB150)</f>
        <v>204778.454417389</v>
      </c>
      <c r="E150" s="73" t="n">
        <f aca="false">E24+E129</f>
        <v>0</v>
      </c>
      <c r="F150" s="73" t="n">
        <f aca="false">F24+F129</f>
        <v>0</v>
      </c>
      <c r="G150" s="73" t="n">
        <f aca="false">G24+G129</f>
        <v>0</v>
      </c>
      <c r="H150" s="73" t="n">
        <f aca="false">H24+H129</f>
        <v>0</v>
      </c>
      <c r="I150" s="73" t="n">
        <f aca="false">I24+I129</f>
        <v>0</v>
      </c>
      <c r="J150" s="73" t="n">
        <f aca="false">J24+J129</f>
        <v>0</v>
      </c>
      <c r="K150" s="73" t="n">
        <f aca="false">K24+K129</f>
        <v>0</v>
      </c>
      <c r="L150" s="73" t="n">
        <f aca="false">L24+L129</f>
        <v>0</v>
      </c>
      <c r="M150" s="73" t="n">
        <f aca="false">M24+M129</f>
        <v>0</v>
      </c>
      <c r="N150" s="73" t="n">
        <f aca="false">N24+N129</f>
        <v>0</v>
      </c>
      <c r="O150" s="73" t="n">
        <f aca="false">O24+O129</f>
        <v>8910</v>
      </c>
      <c r="P150" s="73" t="n">
        <f aca="false">P24+P129</f>
        <v>9270.855</v>
      </c>
      <c r="Q150" s="73" t="n">
        <f aca="false">Q24+Q129</f>
        <v>9646.3246275</v>
      </c>
      <c r="R150" s="73" t="n">
        <f aca="false">R24+R129</f>
        <v>10037.0007749138</v>
      </c>
      <c r="S150" s="73" t="n">
        <f aca="false">S24+S129</f>
        <v>10443.4993062978</v>
      </c>
      <c r="T150" s="73" t="n">
        <f aca="false">T24+T129</f>
        <v>10866.4610282028</v>
      </c>
      <c r="U150" s="73" t="n">
        <f aca="false">U24+U129</f>
        <v>11192.4548590489</v>
      </c>
      <c r="V150" s="73" t="n">
        <f aca="false">V24+V129</f>
        <v>11528.2285048204</v>
      </c>
      <c r="W150" s="73" t="n">
        <f aca="false">W24+W129</f>
        <v>11874.075359965</v>
      </c>
      <c r="X150" s="73" t="n">
        <f aca="false">X24+X129</f>
        <v>12230.2976207639</v>
      </c>
      <c r="Y150" s="73" t="n">
        <f aca="false">Y24+Y129</f>
        <v>12597.2065493868</v>
      </c>
      <c r="Z150" s="73" t="n">
        <f aca="false">Z24+Z129</f>
        <v>79403.5963691007</v>
      </c>
      <c r="AA150" s="73" t="n">
        <f aca="false">AA24+AA129</f>
        <v>12295.2263139849</v>
      </c>
      <c r="AB150" s="73" t="n">
        <f aca="false">AB24+AB129</f>
        <v>12664.0831034045</v>
      </c>
    </row>
    <row r="151" customFormat="false" ht="15" hidden="false" customHeight="false" outlineLevel="0" collapsed="false">
      <c r="A151" s="28" t="s">
        <v>930</v>
      </c>
      <c r="B151" s="62"/>
      <c r="C151" s="64" t="n">
        <f aca="false">SUM(E151:P151)</f>
        <v>5400</v>
      </c>
      <c r="D151" s="64" t="n">
        <f aca="false">SUM(Q151:AB151)</f>
        <v>122051.652311506</v>
      </c>
      <c r="E151" s="73" t="n">
        <f aca="false">E25+E130</f>
        <v>0</v>
      </c>
      <c r="F151" s="73" t="n">
        <f aca="false">F25+F130</f>
        <v>0</v>
      </c>
      <c r="G151" s="73" t="n">
        <f aca="false">G25+G130</f>
        <v>0</v>
      </c>
      <c r="H151" s="73" t="n">
        <f aca="false">H25+H130</f>
        <v>0</v>
      </c>
      <c r="I151" s="73" t="n">
        <f aca="false">I25+I130</f>
        <v>0</v>
      </c>
      <c r="J151" s="73" t="n">
        <f aca="false">J25+J130</f>
        <v>0</v>
      </c>
      <c r="K151" s="73" t="n">
        <f aca="false">K25+K130</f>
        <v>0</v>
      </c>
      <c r="L151" s="73" t="n">
        <f aca="false">L25+L130</f>
        <v>0</v>
      </c>
      <c r="M151" s="73" t="n">
        <f aca="false">M25+M130</f>
        <v>0</v>
      </c>
      <c r="N151" s="73" t="n">
        <f aca="false">N25+N130</f>
        <v>0</v>
      </c>
      <c r="O151" s="73" t="n">
        <f aca="false">O25+O130</f>
        <v>0</v>
      </c>
      <c r="P151" s="73" t="n">
        <f aca="false">P25+P130</f>
        <v>5400</v>
      </c>
      <c r="Q151" s="73" t="n">
        <f aca="false">Q25+Q130</f>
        <v>5618.7</v>
      </c>
      <c r="R151" s="73" t="n">
        <f aca="false">R25+R130</f>
        <v>5846.25735</v>
      </c>
      <c r="S151" s="73" t="n">
        <f aca="false">S25+S130</f>
        <v>6083.030772675</v>
      </c>
      <c r="T151" s="73" t="n">
        <f aca="false">T25+T130</f>
        <v>6329.39351896834</v>
      </c>
      <c r="U151" s="73" t="n">
        <f aca="false">U25+U130</f>
        <v>6585.73395648655</v>
      </c>
      <c r="V151" s="73" t="n">
        <f aca="false">V25+V130</f>
        <v>6783.30597518115</v>
      </c>
      <c r="W151" s="73" t="n">
        <f aca="false">W25+W130</f>
        <v>6986.80515443659</v>
      </c>
      <c r="X151" s="73" t="n">
        <f aca="false">X25+X130</f>
        <v>7196.40930906968</v>
      </c>
      <c r="Y151" s="73" t="n">
        <f aca="false">Y25+Y130</f>
        <v>7412.30158834177</v>
      </c>
      <c r="Z151" s="73" t="n">
        <f aca="false">Z25+Z130</f>
        <v>7634.67063599203</v>
      </c>
      <c r="AA151" s="73" t="n">
        <f aca="false">AA25+AA130</f>
        <v>48123.3917388489</v>
      </c>
      <c r="AB151" s="73" t="n">
        <f aca="false">AB25+AB130</f>
        <v>7451.65231150603</v>
      </c>
    </row>
    <row r="152" customFormat="false" ht="15" hidden="false" customHeight="false" outlineLevel="0" collapsed="false">
      <c r="A152" s="28" t="s">
        <v>931</v>
      </c>
      <c r="B152" s="62"/>
      <c r="C152" s="64" t="n">
        <f aca="false">SUM(E152:P152)</f>
        <v>0</v>
      </c>
      <c r="D152" s="64" t="n">
        <f aca="false">SUM(Q152:AB152)</f>
        <v>100627.251565612</v>
      </c>
      <c r="E152" s="73" t="n">
        <f aca="false">E26+E131</f>
        <v>0</v>
      </c>
      <c r="F152" s="73" t="n">
        <f aca="false">F26+F131</f>
        <v>0</v>
      </c>
      <c r="G152" s="73" t="n">
        <f aca="false">G26+G131</f>
        <v>0</v>
      </c>
      <c r="H152" s="73" t="n">
        <f aca="false">H26+H131</f>
        <v>0</v>
      </c>
      <c r="I152" s="73" t="n">
        <f aca="false">I26+I131</f>
        <v>0</v>
      </c>
      <c r="J152" s="73" t="n">
        <f aca="false">J26+J131</f>
        <v>0</v>
      </c>
      <c r="K152" s="73" t="n">
        <f aca="false">K26+K131</f>
        <v>0</v>
      </c>
      <c r="L152" s="73" t="n">
        <f aca="false">L26+L131</f>
        <v>0</v>
      </c>
      <c r="M152" s="73" t="n">
        <f aca="false">M26+M131</f>
        <v>0</v>
      </c>
      <c r="N152" s="73" t="n">
        <f aca="false">N26+N131</f>
        <v>0</v>
      </c>
      <c r="O152" s="73" t="n">
        <f aca="false">O26+O131</f>
        <v>0</v>
      </c>
      <c r="P152" s="73" t="n">
        <f aca="false">P26+P131</f>
        <v>0</v>
      </c>
      <c r="Q152" s="73" t="n">
        <f aca="false">Q26+Q131</f>
        <v>0</v>
      </c>
      <c r="R152" s="73" t="n">
        <f aca="false">R26+R131</f>
        <v>7560</v>
      </c>
      <c r="S152" s="73" t="n">
        <f aca="false">S26+S131</f>
        <v>7866.18</v>
      </c>
      <c r="T152" s="73" t="n">
        <f aca="false">T26+T131</f>
        <v>8184.76029</v>
      </c>
      <c r="U152" s="73" t="n">
        <f aca="false">U26+U131</f>
        <v>8516.243081745</v>
      </c>
      <c r="V152" s="73" t="n">
        <f aca="false">V26+V131</f>
        <v>8861.15092655567</v>
      </c>
      <c r="W152" s="73" t="n">
        <f aca="false">W26+W131</f>
        <v>9220.02753908118</v>
      </c>
      <c r="X152" s="73" t="n">
        <f aca="false">X26+X131</f>
        <v>9496.62836525361</v>
      </c>
      <c r="Y152" s="73" t="n">
        <f aca="false">Y26+Y131</f>
        <v>9781.52721621122</v>
      </c>
      <c r="Z152" s="73" t="n">
        <f aca="false">Z26+Z131</f>
        <v>10074.9730326976</v>
      </c>
      <c r="AA152" s="73" t="n">
        <f aca="false">AA26+AA131</f>
        <v>10377.2222236785</v>
      </c>
      <c r="AB152" s="73" t="n">
        <f aca="false">AB26+AB131</f>
        <v>10688.5388903888</v>
      </c>
    </row>
    <row r="153" customFormat="false" ht="15" hidden="false" customHeight="false" outlineLevel="0" collapsed="false">
      <c r="A153" s="28" t="s">
        <v>932</v>
      </c>
      <c r="B153" s="62"/>
      <c r="C153" s="64" t="n">
        <f aca="false">SUM(E153:P153)</f>
        <v>0</v>
      </c>
      <c r="D153" s="64" t="n">
        <f aca="false">SUM(Q153:AB153)</f>
        <v>48181.4532188693</v>
      </c>
      <c r="E153" s="73" t="n">
        <f aca="false">E27+E132</f>
        <v>0</v>
      </c>
      <c r="F153" s="73" t="n">
        <f aca="false">F27+F132</f>
        <v>0</v>
      </c>
      <c r="G153" s="73" t="n">
        <f aca="false">G27+G132</f>
        <v>0</v>
      </c>
      <c r="H153" s="73" t="n">
        <f aca="false">H27+H132</f>
        <v>0</v>
      </c>
      <c r="I153" s="73" t="n">
        <f aca="false">I27+I132</f>
        <v>0</v>
      </c>
      <c r="J153" s="73" t="n">
        <f aca="false">J27+J132</f>
        <v>0</v>
      </c>
      <c r="K153" s="73" t="n">
        <f aca="false">K27+K132</f>
        <v>0</v>
      </c>
      <c r="L153" s="73" t="n">
        <f aca="false">L27+L132</f>
        <v>0</v>
      </c>
      <c r="M153" s="73" t="n">
        <f aca="false">M27+M132</f>
        <v>0</v>
      </c>
      <c r="N153" s="73" t="n">
        <f aca="false">N27+N132</f>
        <v>0</v>
      </c>
      <c r="O153" s="73" t="n">
        <f aca="false">O27+O132</f>
        <v>0</v>
      </c>
      <c r="P153" s="73" t="n">
        <f aca="false">P27+P132</f>
        <v>0</v>
      </c>
      <c r="Q153" s="73" t="n">
        <f aca="false">Q27+Q132</f>
        <v>0</v>
      </c>
      <c r="R153" s="73" t="n">
        <f aca="false">R27+R132</f>
        <v>0</v>
      </c>
      <c r="S153" s="73" t="n">
        <f aca="false">S27+S132</f>
        <v>4050</v>
      </c>
      <c r="T153" s="73" t="n">
        <f aca="false">T27+T132</f>
        <v>4214.025</v>
      </c>
      <c r="U153" s="73" t="n">
        <f aca="false">U27+U132</f>
        <v>4384.6930125</v>
      </c>
      <c r="V153" s="73" t="n">
        <f aca="false">V27+V132</f>
        <v>4562.27307950625</v>
      </c>
      <c r="W153" s="73" t="n">
        <f aca="false">W27+W132</f>
        <v>4747.04513922625</v>
      </c>
      <c r="X153" s="73" t="n">
        <f aca="false">X27+X132</f>
        <v>4939.30046736492</v>
      </c>
      <c r="Y153" s="73" t="n">
        <f aca="false">Y27+Y132</f>
        <v>5087.47948138586</v>
      </c>
      <c r="Z153" s="73" t="n">
        <f aca="false">Z27+Z132</f>
        <v>5240.10386582744</v>
      </c>
      <c r="AA153" s="73" t="n">
        <f aca="false">AA27+AA132</f>
        <v>5397.30698180226</v>
      </c>
      <c r="AB153" s="73" t="n">
        <f aca="false">AB27+AB132</f>
        <v>5559.22619125633</v>
      </c>
    </row>
    <row r="154" customFormat="false" ht="15" hidden="false" customHeight="false" outlineLevel="0" collapsed="false">
      <c r="A154" s="28" t="s">
        <v>933</v>
      </c>
      <c r="B154" s="62"/>
      <c r="C154" s="64" t="n">
        <f aca="false">SUM(E154:P154)</f>
        <v>0</v>
      </c>
      <c r="D154" s="64" t="n">
        <f aca="false">SUM(Q154:AB154)</f>
        <v>55837.3800687161</v>
      </c>
      <c r="E154" s="73" t="n">
        <f aca="false">E28+E133</f>
        <v>0</v>
      </c>
      <c r="F154" s="73" t="n">
        <f aca="false">F28+F133</f>
        <v>0</v>
      </c>
      <c r="G154" s="73" t="n">
        <f aca="false">G28+G133</f>
        <v>0</v>
      </c>
      <c r="H154" s="73" t="n">
        <f aca="false">H28+H133</f>
        <v>0</v>
      </c>
      <c r="I154" s="73" t="n">
        <f aca="false">I28+I133</f>
        <v>0</v>
      </c>
      <c r="J154" s="73" t="n">
        <f aca="false">J28+J133</f>
        <v>0</v>
      </c>
      <c r="K154" s="73" t="n">
        <f aca="false">K28+K133</f>
        <v>0</v>
      </c>
      <c r="L154" s="73" t="n">
        <f aca="false">L28+L133</f>
        <v>0</v>
      </c>
      <c r="M154" s="73" t="n">
        <f aca="false">M28+M133</f>
        <v>0</v>
      </c>
      <c r="N154" s="73" t="n">
        <f aca="false">N28+N133</f>
        <v>0</v>
      </c>
      <c r="O154" s="73" t="n">
        <f aca="false">O28+O133</f>
        <v>0</v>
      </c>
      <c r="P154" s="73" t="n">
        <f aca="false">P28+P133</f>
        <v>0</v>
      </c>
      <c r="Q154" s="73" t="n">
        <f aca="false">Q28+Q133</f>
        <v>0</v>
      </c>
      <c r="R154" s="73" t="n">
        <f aca="false">R28+R133</f>
        <v>0</v>
      </c>
      <c r="S154" s="73" t="n">
        <f aca="false">S28+S133</f>
        <v>0</v>
      </c>
      <c r="T154" s="73" t="n">
        <f aca="false">T28+T133</f>
        <v>0</v>
      </c>
      <c r="U154" s="73" t="n">
        <f aca="false">U28+U133</f>
        <v>6075</v>
      </c>
      <c r="V154" s="73" t="n">
        <f aca="false">V28+V133</f>
        <v>6321.0375</v>
      </c>
      <c r="W154" s="73" t="n">
        <f aca="false">W28+W133</f>
        <v>6577.03951875</v>
      </c>
      <c r="X154" s="73" t="n">
        <f aca="false">X28+X133</f>
        <v>6843.40961925937</v>
      </c>
      <c r="Y154" s="73" t="n">
        <f aca="false">Y28+Y133</f>
        <v>7120.56770883938</v>
      </c>
      <c r="Z154" s="73" t="n">
        <f aca="false">Z28+Z133</f>
        <v>7408.95070104737</v>
      </c>
      <c r="AA154" s="73" t="n">
        <f aca="false">AA28+AA133</f>
        <v>7631.21922207879</v>
      </c>
      <c r="AB154" s="73" t="n">
        <f aca="false">AB28+AB133</f>
        <v>7860.15579874116</v>
      </c>
    </row>
    <row r="155" customFormat="false" ht="15" hidden="false" customHeight="false" outlineLevel="0" collapsed="false">
      <c r="A155" s="22" t="s">
        <v>939</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customFormat="false" ht="15" hidden="false" customHeight="false" outlineLevel="0" collapsed="false">
      <c r="A156" s="28" t="s">
        <v>913</v>
      </c>
      <c r="B156" s="62"/>
      <c r="C156" s="64" t="n">
        <f aca="false">SUM(E156:P156)</f>
        <v>387559.34</v>
      </c>
      <c r="D156" s="64" t="n">
        <f aca="false">SUM(Q156:AB156)</f>
        <v>581378.638894895</v>
      </c>
      <c r="E156" s="73" t="n">
        <f aca="false">E72+E93</f>
        <v>0</v>
      </c>
      <c r="F156" s="73" t="n">
        <f aca="false">F72+F93</f>
        <v>0</v>
      </c>
      <c r="G156" s="73" t="n">
        <f aca="false">G72+G93</f>
        <v>87500</v>
      </c>
      <c r="H156" s="73" t="n">
        <f aca="false">H72+H93</f>
        <v>0</v>
      </c>
      <c r="I156" s="73" t="n">
        <f aca="false">I72+I93</f>
        <v>15059.34</v>
      </c>
      <c r="J156" s="73" t="n">
        <f aca="false">J72+J93</f>
        <v>95000</v>
      </c>
      <c r="K156" s="73" t="n">
        <f aca="false">K72+K93</f>
        <v>0</v>
      </c>
      <c r="L156" s="73" t="n">
        <f aca="false">L72+L93</f>
        <v>0</v>
      </c>
      <c r="M156" s="73" t="n">
        <f aca="false">M72+M93</f>
        <v>95000</v>
      </c>
      <c r="N156" s="73" t="n">
        <f aca="false">N72+N93</f>
        <v>0</v>
      </c>
      <c r="O156" s="73" t="n">
        <f aca="false">O72+O93</f>
        <v>0</v>
      </c>
      <c r="P156" s="73" t="n">
        <f aca="false">P72+P93</f>
        <v>95000</v>
      </c>
      <c r="Q156" s="73" t="n">
        <f aca="false">Q72+Q93</f>
        <v>0</v>
      </c>
      <c r="R156" s="73" t="n">
        <f aca="false">R72+R93</f>
        <v>0</v>
      </c>
      <c r="S156" s="73" t="n">
        <f aca="false">S72+S93</f>
        <v>139522.844361824</v>
      </c>
      <c r="T156" s="73" t="n">
        <f aca="false">T72+T93</f>
        <v>47900.9864159601</v>
      </c>
      <c r="U156" s="73" t="n">
        <f aca="false">U72+U93</f>
        <v>48954.8081171113</v>
      </c>
      <c r="V156" s="73" t="n">
        <f aca="false">V72+V93</f>
        <v>115000</v>
      </c>
      <c r="W156" s="73" t="n">
        <f aca="false">W72+W93</f>
        <v>0</v>
      </c>
      <c r="X156" s="73" t="n">
        <f aca="false">X72+X93</f>
        <v>0</v>
      </c>
      <c r="Y156" s="73" t="n">
        <f aca="false">Y72+Y93</f>
        <v>115000</v>
      </c>
      <c r="Z156" s="73" t="n">
        <f aca="false">Z72+Z93</f>
        <v>0</v>
      </c>
      <c r="AA156" s="73" t="n">
        <f aca="false">AA72+AA93</f>
        <v>0</v>
      </c>
      <c r="AB156" s="73" t="n">
        <f aca="false">AB72+AB93</f>
        <v>115000</v>
      </c>
    </row>
    <row r="157" customFormat="false" ht="15" hidden="false" customHeight="false" outlineLevel="0" collapsed="false">
      <c r="A157" s="28" t="s">
        <v>915</v>
      </c>
      <c r="B157" s="62"/>
      <c r="C157" s="64" t="n">
        <f aca="false">SUM(E157:P157)</f>
        <v>277500</v>
      </c>
      <c r="D157" s="64" t="n">
        <f aca="false">SUM(Q157:AB157)</f>
        <v>267750</v>
      </c>
      <c r="E157" s="73" t="n">
        <f aca="false">E73+E94</f>
        <v>70000</v>
      </c>
      <c r="F157" s="73" t="n">
        <f aca="false">F73+F94</f>
        <v>0</v>
      </c>
      <c r="G157" s="73" t="n">
        <f aca="false">G73+G94</f>
        <v>0</v>
      </c>
      <c r="H157" s="73" t="n">
        <f aca="false">H73+H94</f>
        <v>70000</v>
      </c>
      <c r="I157" s="73" t="n">
        <f aca="false">I73+I94</f>
        <v>0</v>
      </c>
      <c r="J157" s="73" t="n">
        <f aca="false">J73+J94</f>
        <v>0</v>
      </c>
      <c r="K157" s="73" t="n">
        <f aca="false">K73+K94</f>
        <v>70000</v>
      </c>
      <c r="L157" s="73" t="n">
        <f aca="false">L73+L94</f>
        <v>0</v>
      </c>
      <c r="M157" s="73" t="n">
        <f aca="false">M73+M94</f>
        <v>0</v>
      </c>
      <c r="N157" s="73" t="n">
        <f aca="false">N73+N94</f>
        <v>67500</v>
      </c>
      <c r="O157" s="73" t="n">
        <f aca="false">O73+O94</f>
        <v>0</v>
      </c>
      <c r="P157" s="73" t="n">
        <f aca="false">P73+P94</f>
        <v>0</v>
      </c>
      <c r="Q157" s="73" t="n">
        <f aca="false">Q73+Q94</f>
        <v>67500</v>
      </c>
      <c r="R157" s="73" t="n">
        <f aca="false">R73+R94</f>
        <v>0</v>
      </c>
      <c r="S157" s="73" t="n">
        <f aca="false">S73+S94</f>
        <v>0</v>
      </c>
      <c r="T157" s="73" t="n">
        <f aca="false">T73+T94</f>
        <v>67500</v>
      </c>
      <c r="U157" s="73" t="n">
        <f aca="false">U73+U94</f>
        <v>0</v>
      </c>
      <c r="V157" s="73" t="n">
        <f aca="false">V73+V94</f>
        <v>0</v>
      </c>
      <c r="W157" s="73" t="n">
        <f aca="false">W73+W94</f>
        <v>67500</v>
      </c>
      <c r="X157" s="73" t="n">
        <f aca="false">X73+X94</f>
        <v>0</v>
      </c>
      <c r="Y157" s="73" t="n">
        <f aca="false">Y73+Y94</f>
        <v>0</v>
      </c>
      <c r="Z157" s="73" t="n">
        <f aca="false">Z73+Z94</f>
        <v>65250</v>
      </c>
      <c r="AA157" s="73" t="n">
        <f aca="false">AA73+AA94</f>
        <v>0</v>
      </c>
      <c r="AB157" s="73" t="n">
        <f aca="false">AB73+AB94</f>
        <v>0</v>
      </c>
    </row>
    <row r="158" customFormat="false" ht="15" hidden="false" customHeight="false" outlineLevel="0" collapsed="false">
      <c r="A158" s="28" t="s">
        <v>916</v>
      </c>
      <c r="B158" s="62"/>
      <c r="C158" s="64" t="n">
        <f aca="false">SUM(E158:P158)</f>
        <v>367079.433290011</v>
      </c>
      <c r="D158" s="64" t="n">
        <f aca="false">SUM(Q158:AB158)</f>
        <v>451866.007439611</v>
      </c>
      <c r="E158" s="73" t="n">
        <f aca="false">E74+E95</f>
        <v>5087.31</v>
      </c>
      <c r="F158" s="73" t="n">
        <f aca="false">F74+F95</f>
        <v>80000</v>
      </c>
      <c r="G158" s="73" t="n">
        <f aca="false">G74+G95</f>
        <v>0</v>
      </c>
      <c r="H158" s="73" t="n">
        <f aca="false">H74+H95</f>
        <v>0</v>
      </c>
      <c r="I158" s="73" t="n">
        <f aca="false">I74+I95</f>
        <v>80000</v>
      </c>
      <c r="J158" s="73" t="n">
        <f aca="false">J74+J95</f>
        <v>0</v>
      </c>
      <c r="K158" s="73" t="n">
        <f aca="false">K74+K95</f>
        <v>0</v>
      </c>
      <c r="L158" s="73" t="n">
        <f aca="false">L74+L95</f>
        <v>80000</v>
      </c>
      <c r="M158" s="73" t="n">
        <f aca="false">M74+M95</f>
        <v>0</v>
      </c>
      <c r="N158" s="73" t="n">
        <f aca="false">N74+N95</f>
        <v>0</v>
      </c>
      <c r="O158" s="73" t="n">
        <f aca="false">O74+O95</f>
        <v>85113.155609048</v>
      </c>
      <c r="P158" s="73" t="n">
        <f aca="false">P74+P95</f>
        <v>36878.9676809629</v>
      </c>
      <c r="Q158" s="73" t="n">
        <f aca="false">Q74+Q95</f>
        <v>37542.7890992202</v>
      </c>
      <c r="R158" s="73" t="n">
        <f aca="false">R74+R95</f>
        <v>85500</v>
      </c>
      <c r="S158" s="73" t="n">
        <f aca="false">S74+S95</f>
        <v>0</v>
      </c>
      <c r="T158" s="73" t="n">
        <f aca="false">T74+T95</f>
        <v>0</v>
      </c>
      <c r="U158" s="73" t="n">
        <f aca="false">U74+U95</f>
        <v>85500</v>
      </c>
      <c r="V158" s="73" t="n">
        <f aca="false">V74+V95</f>
        <v>0</v>
      </c>
      <c r="W158" s="73" t="n">
        <f aca="false">W74+W95</f>
        <v>0</v>
      </c>
      <c r="X158" s="73" t="n">
        <f aca="false">X74+X95</f>
        <v>85500</v>
      </c>
      <c r="Y158" s="73" t="n">
        <f aca="false">Y74+Y95</f>
        <v>0</v>
      </c>
      <c r="Z158" s="73" t="n">
        <f aca="false">Z74+Z95</f>
        <v>0</v>
      </c>
      <c r="AA158" s="73" t="n">
        <f aca="false">AA74+AA95</f>
        <v>116708.757335644</v>
      </c>
      <c r="AB158" s="73" t="n">
        <f aca="false">AB74+AB95</f>
        <v>41114.4610047471</v>
      </c>
    </row>
    <row r="159" customFormat="false" ht="15" hidden="false" customHeight="false" outlineLevel="0" collapsed="false">
      <c r="A159" s="28" t="s">
        <v>917</v>
      </c>
      <c r="B159" s="62"/>
      <c r="C159" s="64" t="n">
        <f aca="false">SUM(E159:P159)</f>
        <v>205000</v>
      </c>
      <c r="D159" s="64" t="n">
        <f aca="false">SUM(Q159:AB159)</f>
        <v>199125</v>
      </c>
      <c r="E159" s="73" t="n">
        <f aca="false">E75+E96</f>
        <v>47500</v>
      </c>
      <c r="F159" s="73" t="n">
        <f aca="false">F75+F96</f>
        <v>0</v>
      </c>
      <c r="G159" s="73" t="n">
        <f aca="false">G75+G96</f>
        <v>0</v>
      </c>
      <c r="H159" s="73" t="n">
        <f aca="false">H75+H96</f>
        <v>52500</v>
      </c>
      <c r="I159" s="73" t="n">
        <f aca="false">I75+I96</f>
        <v>0</v>
      </c>
      <c r="J159" s="73" t="n">
        <f aca="false">J75+J96</f>
        <v>0</v>
      </c>
      <c r="K159" s="73" t="n">
        <f aca="false">K75+K96</f>
        <v>52500</v>
      </c>
      <c r="L159" s="73" t="n">
        <f aca="false">L75+L96</f>
        <v>0</v>
      </c>
      <c r="M159" s="73" t="n">
        <f aca="false">M75+M96</f>
        <v>0</v>
      </c>
      <c r="N159" s="73" t="n">
        <f aca="false">N75+N96</f>
        <v>52500</v>
      </c>
      <c r="O159" s="73" t="n">
        <f aca="false">O75+O96</f>
        <v>0</v>
      </c>
      <c r="P159" s="73" t="n">
        <f aca="false">P75+P96</f>
        <v>0</v>
      </c>
      <c r="Q159" s="73" t="n">
        <f aca="false">Q75+Q96</f>
        <v>52500</v>
      </c>
      <c r="R159" s="73" t="n">
        <f aca="false">R75+R96</f>
        <v>0</v>
      </c>
      <c r="S159" s="73" t="n">
        <f aca="false">S75+S96</f>
        <v>0</v>
      </c>
      <c r="T159" s="73" t="n">
        <f aca="false">T75+T96</f>
        <v>48875</v>
      </c>
      <c r="U159" s="73" t="n">
        <f aca="false">U75+U96</f>
        <v>0</v>
      </c>
      <c r="V159" s="73" t="n">
        <f aca="false">V75+V96</f>
        <v>0</v>
      </c>
      <c r="W159" s="73" t="n">
        <f aca="false">W75+W96</f>
        <v>48875</v>
      </c>
      <c r="X159" s="73" t="n">
        <f aca="false">X75+X96</f>
        <v>0</v>
      </c>
      <c r="Y159" s="73" t="n">
        <f aca="false">Y75+Y96</f>
        <v>0</v>
      </c>
      <c r="Z159" s="73" t="n">
        <f aca="false">Z75+Z96</f>
        <v>48875</v>
      </c>
      <c r="AA159" s="73" t="n">
        <f aca="false">AA75+AA96</f>
        <v>0</v>
      </c>
      <c r="AB159" s="73" t="n">
        <f aca="false">AB75+AB96</f>
        <v>0</v>
      </c>
    </row>
    <row r="160" customFormat="false" ht="15" hidden="false" customHeight="false" outlineLevel="0" collapsed="false">
      <c r="A160" s="28" t="s">
        <v>918</v>
      </c>
      <c r="B160" s="62"/>
      <c r="C160" s="64" t="n">
        <f aca="false">SUM(E160:P160)</f>
        <v>250000</v>
      </c>
      <c r="D160" s="64" t="n">
        <f aca="false">SUM(Q160:AB160)</f>
        <v>258800</v>
      </c>
      <c r="E160" s="73" t="n">
        <f aca="false">E76+E97</f>
        <v>60000</v>
      </c>
      <c r="F160" s="73" t="n">
        <f aca="false">F76+F97</f>
        <v>0</v>
      </c>
      <c r="G160" s="73" t="n">
        <f aca="false">G76+G97</f>
        <v>0</v>
      </c>
      <c r="H160" s="73" t="n">
        <f aca="false">H76+H97</f>
        <v>60000</v>
      </c>
      <c r="I160" s="73" t="n">
        <f aca="false">I76+I97</f>
        <v>0</v>
      </c>
      <c r="J160" s="73" t="n">
        <f aca="false">J76+J97</f>
        <v>0</v>
      </c>
      <c r="K160" s="73" t="n">
        <f aca="false">K76+K97</f>
        <v>65000</v>
      </c>
      <c r="L160" s="73" t="n">
        <f aca="false">L76+L97</f>
        <v>0</v>
      </c>
      <c r="M160" s="73" t="n">
        <f aca="false">M76+M97</f>
        <v>0</v>
      </c>
      <c r="N160" s="73" t="n">
        <f aca="false">N76+N97</f>
        <v>65000</v>
      </c>
      <c r="O160" s="73" t="n">
        <f aca="false">O76+O97</f>
        <v>0</v>
      </c>
      <c r="P160" s="73" t="n">
        <f aca="false">P76+P97</f>
        <v>0</v>
      </c>
      <c r="Q160" s="73" t="n">
        <f aca="false">Q76+Q97</f>
        <v>65000</v>
      </c>
      <c r="R160" s="73" t="n">
        <f aca="false">R76+R97</f>
        <v>0</v>
      </c>
      <c r="S160" s="73" t="n">
        <f aca="false">S76+S97</f>
        <v>0</v>
      </c>
      <c r="T160" s="73" t="n">
        <f aca="false">T76+T97</f>
        <v>65000</v>
      </c>
      <c r="U160" s="73" t="n">
        <f aca="false">U76+U97</f>
        <v>0</v>
      </c>
      <c r="V160" s="73" t="n">
        <f aca="false">V76+V97</f>
        <v>0</v>
      </c>
      <c r="W160" s="73" t="n">
        <f aca="false">W76+W97</f>
        <v>64400</v>
      </c>
      <c r="X160" s="73" t="n">
        <f aca="false">X76+X97</f>
        <v>0</v>
      </c>
      <c r="Y160" s="73" t="n">
        <f aca="false">Y76+Y97</f>
        <v>0</v>
      </c>
      <c r="Z160" s="73" t="n">
        <f aca="false">Z76+Z97</f>
        <v>64400</v>
      </c>
      <c r="AA160" s="73" t="n">
        <f aca="false">AA76+AA97</f>
        <v>0</v>
      </c>
      <c r="AB160" s="73" t="n">
        <f aca="false">AB76+AB97</f>
        <v>0</v>
      </c>
    </row>
    <row r="161" customFormat="false" ht="15" hidden="false" customHeight="false" outlineLevel="0" collapsed="false">
      <c r="A161" s="28" t="s">
        <v>919</v>
      </c>
      <c r="B161" s="62"/>
      <c r="C161" s="64" t="n">
        <f aca="false">SUM(E161:P161)</f>
        <v>218000</v>
      </c>
      <c r="D161" s="64" t="n">
        <f aca="false">SUM(Q161:AB161)</f>
        <v>211500</v>
      </c>
      <c r="E161" s="73" t="n">
        <f aca="false">E77+E98</f>
        <v>0</v>
      </c>
      <c r="F161" s="73" t="n">
        <f aca="false">F77+F98</f>
        <v>0</v>
      </c>
      <c r="G161" s="73" t="n">
        <f aca="false">G77+G98</f>
        <v>55000</v>
      </c>
      <c r="H161" s="73" t="n">
        <f aca="false">H77+H98</f>
        <v>0</v>
      </c>
      <c r="I161" s="73" t="n">
        <f aca="false">I77+I98</f>
        <v>0</v>
      </c>
      <c r="J161" s="73" t="n">
        <f aca="false">J77+J98</f>
        <v>55000</v>
      </c>
      <c r="K161" s="73" t="n">
        <f aca="false">K77+K98</f>
        <v>0</v>
      </c>
      <c r="L161" s="73" t="n">
        <f aca="false">L77+L98</f>
        <v>0</v>
      </c>
      <c r="M161" s="73" t="n">
        <f aca="false">M77+M98</f>
        <v>54000</v>
      </c>
      <c r="N161" s="73" t="n">
        <f aca="false">N77+N98</f>
        <v>0</v>
      </c>
      <c r="O161" s="73" t="n">
        <f aca="false">O77+O98</f>
        <v>0</v>
      </c>
      <c r="P161" s="73" t="n">
        <f aca="false">P77+P98</f>
        <v>54000</v>
      </c>
      <c r="Q161" s="73" t="n">
        <f aca="false">Q77+Q98</f>
        <v>0</v>
      </c>
      <c r="R161" s="73" t="n">
        <f aca="false">R77+R98</f>
        <v>0</v>
      </c>
      <c r="S161" s="73" t="n">
        <f aca="false">S77+S98</f>
        <v>54000</v>
      </c>
      <c r="T161" s="73" t="n">
        <f aca="false">T77+T98</f>
        <v>0</v>
      </c>
      <c r="U161" s="73" t="n">
        <f aca="false">U77+U98</f>
        <v>0</v>
      </c>
      <c r="V161" s="73" t="n">
        <f aca="false">V77+V98</f>
        <v>54000</v>
      </c>
      <c r="W161" s="73" t="n">
        <f aca="false">W77+W98</f>
        <v>0</v>
      </c>
      <c r="X161" s="73" t="n">
        <f aca="false">X77+X98</f>
        <v>0</v>
      </c>
      <c r="Y161" s="73" t="n">
        <f aca="false">Y77+Y98</f>
        <v>51750</v>
      </c>
      <c r="Z161" s="73" t="n">
        <f aca="false">Z77+Z98</f>
        <v>0</v>
      </c>
      <c r="AA161" s="73" t="n">
        <f aca="false">AA77+AA98</f>
        <v>0</v>
      </c>
      <c r="AB161" s="73" t="n">
        <f aca="false">AB77+AB98</f>
        <v>51750</v>
      </c>
    </row>
    <row r="162" customFormat="false" ht="15" hidden="false" customHeight="false" outlineLevel="0" collapsed="false">
      <c r="A162" s="28" t="s">
        <v>920</v>
      </c>
      <c r="B162" s="62"/>
      <c r="C162" s="64" t="n">
        <f aca="false">SUM(E162:P162)</f>
        <v>174683.27705168</v>
      </c>
      <c r="D162" s="64" t="n">
        <f aca="false">SUM(Q162:AB162)</f>
        <v>178540.868625778</v>
      </c>
      <c r="E162" s="73" t="n">
        <f aca="false">E78+E99</f>
        <v>0</v>
      </c>
      <c r="F162" s="73" t="n">
        <f aca="false">F78+F99</f>
        <v>42500</v>
      </c>
      <c r="G162" s="73" t="n">
        <f aca="false">G78+G99</f>
        <v>0</v>
      </c>
      <c r="H162" s="73" t="n">
        <f aca="false">H78+H99</f>
        <v>0</v>
      </c>
      <c r="I162" s="73" t="n">
        <f aca="false">I78+I99</f>
        <v>42500</v>
      </c>
      <c r="J162" s="73" t="n">
        <f aca="false">J78+J99</f>
        <v>0</v>
      </c>
      <c r="K162" s="73" t="n">
        <f aca="false">K78+K99</f>
        <v>0</v>
      </c>
      <c r="L162" s="73" t="n">
        <f aca="false">L78+L99</f>
        <v>42500</v>
      </c>
      <c r="M162" s="73" t="n">
        <f aca="false">M78+M99</f>
        <v>0</v>
      </c>
      <c r="N162" s="73" t="n">
        <f aca="false">N78+N99</f>
        <v>6683.27705168002</v>
      </c>
      <c r="O162" s="73" t="n">
        <f aca="false">O78+O99</f>
        <v>40500</v>
      </c>
      <c r="P162" s="73" t="n">
        <f aca="false">P78+P99</f>
        <v>0</v>
      </c>
      <c r="Q162" s="73" t="n">
        <f aca="false">Q78+Q99</f>
        <v>0</v>
      </c>
      <c r="R162" s="73" t="n">
        <f aca="false">R78+R99</f>
        <v>40500</v>
      </c>
      <c r="S162" s="73" t="n">
        <f aca="false">S78+S99</f>
        <v>0</v>
      </c>
      <c r="T162" s="73" t="n">
        <f aca="false">T78+T99</f>
        <v>0</v>
      </c>
      <c r="U162" s="73" t="n">
        <f aca="false">U78+U99</f>
        <v>40500</v>
      </c>
      <c r="V162" s="73" t="n">
        <f aca="false">V78+V99</f>
        <v>0</v>
      </c>
      <c r="W162" s="73" t="n">
        <f aca="false">W78+W99</f>
        <v>0</v>
      </c>
      <c r="X162" s="73" t="n">
        <f aca="false">X78+X99</f>
        <v>40500</v>
      </c>
      <c r="Y162" s="73" t="n">
        <f aca="false">Y78+Y99</f>
        <v>2203.2217402168</v>
      </c>
      <c r="Z162" s="73" t="n">
        <f aca="false">Z78+Z99</f>
        <v>16587.6468855611</v>
      </c>
      <c r="AA162" s="73" t="n">
        <f aca="false">AA78+AA99</f>
        <v>38250</v>
      </c>
      <c r="AB162" s="73" t="n">
        <f aca="false">AB78+AB99</f>
        <v>0</v>
      </c>
    </row>
    <row r="163" customFormat="false" ht="15" hidden="false" customHeight="false" outlineLevel="0" collapsed="false">
      <c r="A163" s="28" t="s">
        <v>921</v>
      </c>
      <c r="B163" s="62"/>
      <c r="C163" s="64" t="n">
        <f aca="false">SUM(E163:P163)</f>
        <v>8216.42000000001</v>
      </c>
      <c r="D163" s="64" t="n">
        <f aca="false">SUM(Q163:AB163)</f>
        <v>0</v>
      </c>
      <c r="E163" s="73" t="n">
        <f aca="false">E79+E100</f>
        <v>0</v>
      </c>
      <c r="F163" s="73" t="n">
        <f aca="false">F79+F100</f>
        <v>8216.42000000001</v>
      </c>
      <c r="G163" s="73" t="n">
        <f aca="false">G79+G100</f>
        <v>0</v>
      </c>
      <c r="H163" s="73" t="n">
        <f aca="false">H79+H100</f>
        <v>0</v>
      </c>
      <c r="I163" s="73" t="n">
        <f aca="false">I79+I100</f>
        <v>0</v>
      </c>
      <c r="J163" s="73" t="n">
        <f aca="false">J79+J100</f>
        <v>0</v>
      </c>
      <c r="K163" s="73" t="n">
        <f aca="false">K79+K100</f>
        <v>0</v>
      </c>
      <c r="L163" s="73" t="n">
        <f aca="false">L79+L100</f>
        <v>0</v>
      </c>
      <c r="M163" s="73" t="n">
        <f aca="false">M79+M100</f>
        <v>0</v>
      </c>
      <c r="N163" s="73" t="n">
        <f aca="false">N79+N100</f>
        <v>0</v>
      </c>
      <c r="O163" s="73" t="n">
        <f aca="false">O79+O100</f>
        <v>0</v>
      </c>
      <c r="P163" s="73" t="n">
        <f aca="false">P79+P100</f>
        <v>0</v>
      </c>
      <c r="Q163" s="73" t="n">
        <f aca="false">Q79+Q100</f>
        <v>0</v>
      </c>
      <c r="R163" s="73" t="n">
        <f aca="false">R79+R100</f>
        <v>0</v>
      </c>
      <c r="S163" s="73" t="n">
        <f aca="false">S79+S100</f>
        <v>0</v>
      </c>
      <c r="T163" s="73" t="n">
        <f aca="false">T79+T100</f>
        <v>0</v>
      </c>
      <c r="U163" s="73" t="n">
        <f aca="false">U79+U100</f>
        <v>0</v>
      </c>
      <c r="V163" s="73" t="n">
        <f aca="false">V79+V100</f>
        <v>0</v>
      </c>
      <c r="W163" s="73" t="n">
        <f aca="false">W79+W100</f>
        <v>0</v>
      </c>
      <c r="X163" s="73" t="n">
        <f aca="false">X79+X100</f>
        <v>0</v>
      </c>
      <c r="Y163" s="73" t="n">
        <f aca="false">Y79+Y100</f>
        <v>0</v>
      </c>
      <c r="Z163" s="73" t="n">
        <f aca="false">Z79+Z100</f>
        <v>0</v>
      </c>
      <c r="AA163" s="73" t="n">
        <f aca="false">AA79+AA100</f>
        <v>0</v>
      </c>
      <c r="AB163" s="73" t="n">
        <f aca="false">AB79+AB100</f>
        <v>0</v>
      </c>
    </row>
    <row r="164" customFormat="false" ht="15" hidden="false" customHeight="false" outlineLevel="0" collapsed="false">
      <c r="A164" s="28" t="s">
        <v>922</v>
      </c>
      <c r="B164" s="62"/>
      <c r="C164" s="64" t="n">
        <f aca="false">SUM(E164:P164)</f>
        <v>190000</v>
      </c>
      <c r="D164" s="64" t="n">
        <f aca="false">SUM(Q164:AB164)</f>
        <v>193200</v>
      </c>
      <c r="E164" s="73" t="n">
        <f aca="false">E80+E101</f>
        <v>0</v>
      </c>
      <c r="F164" s="73" t="n">
        <f aca="false">F80+F101</f>
        <v>47500</v>
      </c>
      <c r="G164" s="73" t="n">
        <f aca="false">G80+G101</f>
        <v>0</v>
      </c>
      <c r="H164" s="73" t="n">
        <f aca="false">H80+H101</f>
        <v>0</v>
      </c>
      <c r="I164" s="73" t="n">
        <f aca="false">I80+I101</f>
        <v>47500</v>
      </c>
      <c r="J164" s="73" t="n">
        <f aca="false">J80+J101</f>
        <v>0</v>
      </c>
      <c r="K164" s="73" t="n">
        <f aca="false">K80+K101</f>
        <v>0</v>
      </c>
      <c r="L164" s="73" t="n">
        <f aca="false">L80+L101</f>
        <v>47500</v>
      </c>
      <c r="M164" s="73" t="n">
        <f aca="false">M80+M101</f>
        <v>0</v>
      </c>
      <c r="N164" s="73" t="n">
        <f aca="false">N80+N101</f>
        <v>0</v>
      </c>
      <c r="O164" s="73" t="n">
        <f aca="false">O80+O101</f>
        <v>47500</v>
      </c>
      <c r="P164" s="73" t="n">
        <f aca="false">P80+P101</f>
        <v>0</v>
      </c>
      <c r="Q164" s="73" t="n">
        <f aca="false">Q80+Q101</f>
        <v>0</v>
      </c>
      <c r="R164" s="73" t="n">
        <f aca="false">R80+R101</f>
        <v>48300</v>
      </c>
      <c r="S164" s="73" t="n">
        <f aca="false">S80+S101</f>
        <v>0</v>
      </c>
      <c r="T164" s="73" t="n">
        <f aca="false">T80+T101</f>
        <v>0</v>
      </c>
      <c r="U164" s="73" t="n">
        <f aca="false">U80+U101</f>
        <v>48300</v>
      </c>
      <c r="V164" s="73" t="n">
        <f aca="false">V80+V101</f>
        <v>0</v>
      </c>
      <c r="W164" s="73" t="n">
        <f aca="false">W80+W101</f>
        <v>0</v>
      </c>
      <c r="X164" s="73" t="n">
        <f aca="false">X80+X101</f>
        <v>48300</v>
      </c>
      <c r="Y164" s="73" t="n">
        <f aca="false">Y80+Y101</f>
        <v>0</v>
      </c>
      <c r="Z164" s="73" t="n">
        <f aca="false">Z80+Z101</f>
        <v>0</v>
      </c>
      <c r="AA164" s="73" t="n">
        <f aca="false">AA80+AA101</f>
        <v>48300</v>
      </c>
      <c r="AB164" s="73" t="n">
        <f aca="false">AB80+AB101</f>
        <v>0</v>
      </c>
    </row>
    <row r="165" customFormat="false" ht="15" hidden="false" customHeight="false" outlineLevel="0" collapsed="false">
      <c r="A165" s="28" t="s">
        <v>923</v>
      </c>
      <c r="B165" s="62"/>
      <c r="C165" s="64" t="n">
        <f aca="false">SUM(E165:P165)</f>
        <v>167500</v>
      </c>
      <c r="D165" s="64" t="n">
        <f aca="false">SUM(Q165:AB165)</f>
        <v>237122.047230202</v>
      </c>
      <c r="E165" s="73" t="n">
        <f aca="false">E81+E102</f>
        <v>40000</v>
      </c>
      <c r="F165" s="73" t="n">
        <f aca="false">F81+F102</f>
        <v>0</v>
      </c>
      <c r="G165" s="73" t="n">
        <f aca="false">G81+G102</f>
        <v>0</v>
      </c>
      <c r="H165" s="73" t="n">
        <f aca="false">H81+H102</f>
        <v>42500</v>
      </c>
      <c r="I165" s="73" t="n">
        <f aca="false">I81+I102</f>
        <v>0</v>
      </c>
      <c r="J165" s="73" t="n">
        <f aca="false">J81+J102</f>
        <v>0</v>
      </c>
      <c r="K165" s="73" t="n">
        <f aca="false">K81+K102</f>
        <v>42500</v>
      </c>
      <c r="L165" s="73" t="n">
        <f aca="false">L81+L102</f>
        <v>0</v>
      </c>
      <c r="M165" s="73" t="n">
        <f aca="false">M81+M102</f>
        <v>0</v>
      </c>
      <c r="N165" s="73" t="n">
        <f aca="false">N81+N102</f>
        <v>42500</v>
      </c>
      <c r="O165" s="73" t="n">
        <f aca="false">O81+O102</f>
        <v>0</v>
      </c>
      <c r="P165" s="73" t="n">
        <f aca="false">P81+P102</f>
        <v>0</v>
      </c>
      <c r="Q165" s="73" t="n">
        <f aca="false">Q81+Q102</f>
        <v>53912.9547492489</v>
      </c>
      <c r="R165" s="73" t="n">
        <f aca="false">R81+R102</f>
        <v>20514.1476897342</v>
      </c>
      <c r="S165" s="73" t="n">
        <f aca="false">S81+S102</f>
        <v>20944.9447912186</v>
      </c>
      <c r="T165" s="73" t="n">
        <f aca="false">T81+T102</f>
        <v>47250</v>
      </c>
      <c r="U165" s="73" t="n">
        <f aca="false">U81+U102</f>
        <v>0</v>
      </c>
      <c r="V165" s="73" t="n">
        <f aca="false">V81+V102</f>
        <v>0</v>
      </c>
      <c r="W165" s="73" t="n">
        <f aca="false">W81+W102</f>
        <v>47250</v>
      </c>
      <c r="X165" s="73" t="n">
        <f aca="false">X81+X102</f>
        <v>0</v>
      </c>
      <c r="Y165" s="73" t="n">
        <f aca="false">Y81+Y102</f>
        <v>0</v>
      </c>
      <c r="Z165" s="73" t="n">
        <f aca="false">Z81+Z102</f>
        <v>47250</v>
      </c>
      <c r="AA165" s="73" t="n">
        <f aca="false">AA81+AA102</f>
        <v>0</v>
      </c>
      <c r="AB165" s="73" t="n">
        <f aca="false">AB81+AB102</f>
        <v>0</v>
      </c>
    </row>
    <row r="166" customFormat="false" ht="15" hidden="false" customHeight="false" outlineLevel="0" collapsed="false">
      <c r="A166" s="28" t="s">
        <v>924</v>
      </c>
      <c r="B166" s="62"/>
      <c r="C166" s="64" t="n">
        <f aca="false">SUM(E166:P166)</f>
        <v>127500</v>
      </c>
      <c r="D166" s="64" t="n">
        <f aca="false">SUM(Q166:AB166)</f>
        <v>148829.046409185</v>
      </c>
      <c r="E166" s="73" t="n">
        <f aca="false">E82+E103</f>
        <v>0</v>
      </c>
      <c r="F166" s="73" t="n">
        <f aca="false">F82+F103</f>
        <v>0</v>
      </c>
      <c r="G166" s="73" t="n">
        <f aca="false">G82+G103</f>
        <v>30000</v>
      </c>
      <c r="H166" s="73" t="n">
        <f aca="false">H82+H103</f>
        <v>0</v>
      </c>
      <c r="I166" s="73" t="n">
        <f aca="false">I82+I103</f>
        <v>0</v>
      </c>
      <c r="J166" s="73" t="n">
        <f aca="false">J82+J103</f>
        <v>32500</v>
      </c>
      <c r="K166" s="73" t="n">
        <f aca="false">K82+K103</f>
        <v>0</v>
      </c>
      <c r="L166" s="73" t="n">
        <f aca="false">L82+L103</f>
        <v>0</v>
      </c>
      <c r="M166" s="73" t="n">
        <f aca="false">M82+M103</f>
        <v>32500</v>
      </c>
      <c r="N166" s="73" t="n">
        <f aca="false">N82+N103</f>
        <v>0</v>
      </c>
      <c r="O166" s="73" t="n">
        <f aca="false">O82+O103</f>
        <v>0</v>
      </c>
      <c r="P166" s="73" t="n">
        <f aca="false">P82+P103</f>
        <v>32500</v>
      </c>
      <c r="Q166" s="73" t="n">
        <f aca="false">Q82+Q103</f>
        <v>0</v>
      </c>
      <c r="R166" s="73" t="n">
        <f aca="false">R82+R103</f>
        <v>0</v>
      </c>
      <c r="S166" s="73" t="n">
        <f aca="false">S82+S103</f>
        <v>32500</v>
      </c>
      <c r="T166" s="73" t="n">
        <f aca="false">T82+T103</f>
        <v>7491.84353841681</v>
      </c>
      <c r="U166" s="73" t="n">
        <f aca="false">U82+U103</f>
        <v>14337.2028707684</v>
      </c>
      <c r="V166" s="73" t="n">
        <f aca="false">V82+V103</f>
        <v>31500</v>
      </c>
      <c r="W166" s="73" t="n">
        <f aca="false">W82+W103</f>
        <v>0</v>
      </c>
      <c r="X166" s="73" t="n">
        <f aca="false">X82+X103</f>
        <v>0</v>
      </c>
      <c r="Y166" s="73" t="n">
        <f aca="false">Y82+Y103</f>
        <v>31500</v>
      </c>
      <c r="Z166" s="73" t="n">
        <f aca="false">Z82+Z103</f>
        <v>0</v>
      </c>
      <c r="AA166" s="73" t="n">
        <f aca="false">AA82+AA103</f>
        <v>0</v>
      </c>
      <c r="AB166" s="73" t="n">
        <f aca="false">AB82+AB103</f>
        <v>31500</v>
      </c>
    </row>
    <row r="167" customFormat="false" ht="15" hidden="false" customHeight="false" outlineLevel="0" collapsed="false">
      <c r="A167" s="28" t="s">
        <v>925</v>
      </c>
      <c r="B167" s="62"/>
      <c r="C167" s="64" t="n">
        <f aca="false">SUM(E167:P167)</f>
        <v>145000</v>
      </c>
      <c r="D167" s="64" t="n">
        <f aca="false">SUM(Q167:AB167)</f>
        <v>151352.318225627</v>
      </c>
      <c r="E167" s="73" t="n">
        <f aca="false">E83+E104</f>
        <v>0</v>
      </c>
      <c r="F167" s="73" t="n">
        <f aca="false">F83+F104</f>
        <v>35000</v>
      </c>
      <c r="G167" s="73" t="n">
        <f aca="false">G83+G104</f>
        <v>0</v>
      </c>
      <c r="H167" s="73" t="n">
        <f aca="false">H83+H104</f>
        <v>0</v>
      </c>
      <c r="I167" s="73" t="n">
        <f aca="false">I83+I104</f>
        <v>35000</v>
      </c>
      <c r="J167" s="73" t="n">
        <f aca="false">J83+J104</f>
        <v>0</v>
      </c>
      <c r="K167" s="73" t="n">
        <f aca="false">K83+K104</f>
        <v>0</v>
      </c>
      <c r="L167" s="73" t="n">
        <f aca="false">L83+L104</f>
        <v>37500</v>
      </c>
      <c r="M167" s="73" t="n">
        <f aca="false">M83+M104</f>
        <v>0</v>
      </c>
      <c r="N167" s="73" t="n">
        <f aca="false">N83+N104</f>
        <v>0</v>
      </c>
      <c r="O167" s="73" t="n">
        <f aca="false">O83+O104</f>
        <v>37500</v>
      </c>
      <c r="P167" s="73" t="n">
        <f aca="false">P83+P104</f>
        <v>0</v>
      </c>
      <c r="Q167" s="73" t="n">
        <f aca="false">Q83+Q104</f>
        <v>0</v>
      </c>
      <c r="R167" s="73" t="n">
        <f aca="false">R83+R104</f>
        <v>37500</v>
      </c>
      <c r="S167" s="73" t="n">
        <f aca="false">S83+S104</f>
        <v>0</v>
      </c>
      <c r="T167" s="73" t="n">
        <f aca="false">T83+T104</f>
        <v>0</v>
      </c>
      <c r="U167" s="73" t="n">
        <f aca="false">U83+U104</f>
        <v>37500</v>
      </c>
      <c r="V167" s="73" t="n">
        <f aca="false">V83+V104</f>
        <v>0</v>
      </c>
      <c r="W167" s="73" t="n">
        <f aca="false">W83+W104</f>
        <v>4352.31822562657</v>
      </c>
      <c r="X167" s="73" t="n">
        <f aca="false">X83+X104</f>
        <v>36000</v>
      </c>
      <c r="Y167" s="73" t="n">
        <f aca="false">Y83+Y104</f>
        <v>0</v>
      </c>
      <c r="Z167" s="73" t="n">
        <f aca="false">Z83+Z104</f>
        <v>0</v>
      </c>
      <c r="AA167" s="73" t="n">
        <f aca="false">AA83+AA104</f>
        <v>36000</v>
      </c>
      <c r="AB167" s="73" t="n">
        <f aca="false">AB83+AB104</f>
        <v>0</v>
      </c>
    </row>
    <row r="168" customFormat="false" ht="15" hidden="false" customHeight="false" outlineLevel="0" collapsed="false">
      <c r="A168" s="28" t="s">
        <v>926</v>
      </c>
      <c r="B168" s="62"/>
      <c r="C168" s="64" t="n">
        <f aca="false">SUM(E168:P168)</f>
        <v>149300</v>
      </c>
      <c r="D168" s="64" t="n">
        <f aca="false">SUM(Q168:AB168)</f>
        <v>147200</v>
      </c>
      <c r="E168" s="73" t="n">
        <f aca="false">E84+E105</f>
        <v>37500</v>
      </c>
      <c r="F168" s="73" t="n">
        <f aca="false">F84+F105</f>
        <v>0</v>
      </c>
      <c r="G168" s="73" t="n">
        <f aca="false">G84+G105</f>
        <v>0</v>
      </c>
      <c r="H168" s="73" t="n">
        <f aca="false">H84+H105</f>
        <v>37500</v>
      </c>
      <c r="I168" s="73" t="n">
        <f aca="false">I84+I105</f>
        <v>0</v>
      </c>
      <c r="J168" s="73" t="n">
        <f aca="false">J84+J105</f>
        <v>0</v>
      </c>
      <c r="K168" s="73" t="n">
        <f aca="false">K84+K105</f>
        <v>37500</v>
      </c>
      <c r="L168" s="73" t="n">
        <f aca="false">L84+L105</f>
        <v>0</v>
      </c>
      <c r="M168" s="73" t="n">
        <f aca="false">M84+M105</f>
        <v>0</v>
      </c>
      <c r="N168" s="73" t="n">
        <f aca="false">N84+N105</f>
        <v>36800</v>
      </c>
      <c r="O168" s="73" t="n">
        <f aca="false">O84+O105</f>
        <v>0</v>
      </c>
      <c r="P168" s="73" t="n">
        <f aca="false">P84+P105</f>
        <v>0</v>
      </c>
      <c r="Q168" s="73" t="n">
        <f aca="false">Q84+Q105</f>
        <v>36800</v>
      </c>
      <c r="R168" s="73" t="n">
        <f aca="false">R84+R105</f>
        <v>0</v>
      </c>
      <c r="S168" s="73" t="n">
        <f aca="false">S84+S105</f>
        <v>0</v>
      </c>
      <c r="T168" s="73" t="n">
        <f aca="false">T84+T105</f>
        <v>36800</v>
      </c>
      <c r="U168" s="73" t="n">
        <f aca="false">U84+U105</f>
        <v>0</v>
      </c>
      <c r="V168" s="73" t="n">
        <f aca="false">V84+V105</f>
        <v>0</v>
      </c>
      <c r="W168" s="73" t="n">
        <f aca="false">W84+W105</f>
        <v>36800</v>
      </c>
      <c r="X168" s="73" t="n">
        <f aca="false">X84+X105</f>
        <v>0</v>
      </c>
      <c r="Y168" s="73" t="n">
        <f aca="false">Y84+Y105</f>
        <v>0</v>
      </c>
      <c r="Z168" s="73" t="n">
        <f aca="false">Z84+Z105</f>
        <v>36800</v>
      </c>
      <c r="AA168" s="73" t="n">
        <f aca="false">AA84+AA105</f>
        <v>0</v>
      </c>
      <c r="AB168" s="73" t="n">
        <f aca="false">AB84+AB105</f>
        <v>0</v>
      </c>
    </row>
    <row r="169" customFormat="false" ht="15" hidden="false" customHeight="false" outlineLevel="0" collapsed="false">
      <c r="A169" s="28" t="s">
        <v>927</v>
      </c>
      <c r="B169" s="62"/>
      <c r="C169" s="64" t="n">
        <f aca="false">SUM(E169:P169)</f>
        <v>180000</v>
      </c>
      <c r="D169" s="64" t="n">
        <f aca="false">SUM(Q169:AB169)</f>
        <v>239400</v>
      </c>
      <c r="E169" s="73" t="n">
        <f aca="false">E85+E106</f>
        <v>0</v>
      </c>
      <c r="F169" s="73" t="n">
        <f aca="false">F85+F106</f>
        <v>0</v>
      </c>
      <c r="G169" s="73" t="n">
        <f aca="false">G85+G106</f>
        <v>0</v>
      </c>
      <c r="H169" s="73" t="n">
        <f aca="false">H85+H106</f>
        <v>60000</v>
      </c>
      <c r="I169" s="73" t="n">
        <f aca="false">I85+I106</f>
        <v>0</v>
      </c>
      <c r="J169" s="73" t="n">
        <f aca="false">J85+J106</f>
        <v>0</v>
      </c>
      <c r="K169" s="73" t="n">
        <f aca="false">K85+K106</f>
        <v>60000</v>
      </c>
      <c r="L169" s="73" t="n">
        <f aca="false">L85+L106</f>
        <v>0</v>
      </c>
      <c r="M169" s="73" t="n">
        <f aca="false">M85+M106</f>
        <v>0</v>
      </c>
      <c r="N169" s="73" t="n">
        <f aca="false">N85+N106</f>
        <v>60000</v>
      </c>
      <c r="O169" s="73" t="n">
        <f aca="false">O85+O106</f>
        <v>0</v>
      </c>
      <c r="P169" s="73" t="n">
        <f aca="false">P85+P106</f>
        <v>0</v>
      </c>
      <c r="Q169" s="73" t="n">
        <f aca="false">Q85+Q106</f>
        <v>60000</v>
      </c>
      <c r="R169" s="73" t="n">
        <f aca="false">R85+R106</f>
        <v>0</v>
      </c>
      <c r="S169" s="73" t="n">
        <f aca="false">S85+S106</f>
        <v>0</v>
      </c>
      <c r="T169" s="73" t="n">
        <f aca="false">T85+T106</f>
        <v>59800</v>
      </c>
      <c r="U169" s="73" t="n">
        <f aca="false">U85+U106</f>
        <v>0</v>
      </c>
      <c r="V169" s="73" t="n">
        <f aca="false">V85+V106</f>
        <v>0</v>
      </c>
      <c r="W169" s="73" t="n">
        <f aca="false">W85+W106</f>
        <v>59800</v>
      </c>
      <c r="X169" s="73" t="n">
        <f aca="false">X85+X106</f>
        <v>0</v>
      </c>
      <c r="Y169" s="73" t="n">
        <f aca="false">Y85+Y106</f>
        <v>0</v>
      </c>
      <c r="Z169" s="73" t="n">
        <f aca="false">Z85+Z106</f>
        <v>59800</v>
      </c>
      <c r="AA169" s="73" t="n">
        <f aca="false">AA85+AA106</f>
        <v>0</v>
      </c>
      <c r="AB169" s="73" t="n">
        <f aca="false">AB85+AB106</f>
        <v>0</v>
      </c>
    </row>
    <row r="170" customFormat="false" ht="15" hidden="false" customHeight="false" outlineLevel="0" collapsed="false">
      <c r="A170" s="28" t="s">
        <v>928</v>
      </c>
      <c r="B170" s="62"/>
      <c r="C170" s="64" t="n">
        <f aca="false">SUM(E170:P170)</f>
        <v>150000</v>
      </c>
      <c r="D170" s="64" t="n">
        <f aca="false">SUM(Q170:AB170)</f>
        <v>297200</v>
      </c>
      <c r="E170" s="73" t="n">
        <f aca="false">E86+E107</f>
        <v>0</v>
      </c>
      <c r="F170" s="73" t="n">
        <f aca="false">F86+F107</f>
        <v>0</v>
      </c>
      <c r="G170" s="73" t="n">
        <f aca="false">G86+G107</f>
        <v>0</v>
      </c>
      <c r="H170" s="73" t="n">
        <f aca="false">H86+H107</f>
        <v>0</v>
      </c>
      <c r="I170" s="73" t="n">
        <f aca="false">I86+I107</f>
        <v>0</v>
      </c>
      <c r="J170" s="73" t="n">
        <f aca="false">J86+J107</f>
        <v>0</v>
      </c>
      <c r="K170" s="73" t="n">
        <f aca="false">K86+K107</f>
        <v>75000</v>
      </c>
      <c r="L170" s="73" t="n">
        <f aca="false">L86+L107</f>
        <v>0</v>
      </c>
      <c r="M170" s="73" t="n">
        <f aca="false">M86+M107</f>
        <v>0</v>
      </c>
      <c r="N170" s="73" t="n">
        <f aca="false">N86+N107</f>
        <v>75000</v>
      </c>
      <c r="O170" s="73" t="n">
        <f aca="false">O86+O107</f>
        <v>0</v>
      </c>
      <c r="P170" s="73" t="n">
        <f aca="false">P86+P107</f>
        <v>0</v>
      </c>
      <c r="Q170" s="73" t="n">
        <f aca="false">Q86+Q107</f>
        <v>75000</v>
      </c>
      <c r="R170" s="73" t="n">
        <f aca="false">R86+R107</f>
        <v>0</v>
      </c>
      <c r="S170" s="73" t="n">
        <f aca="false">S86+S107</f>
        <v>0</v>
      </c>
      <c r="T170" s="73" t="n">
        <f aca="false">T86+T107</f>
        <v>75000</v>
      </c>
      <c r="U170" s="73" t="n">
        <f aca="false">U86+U107</f>
        <v>0</v>
      </c>
      <c r="V170" s="73" t="n">
        <f aca="false">V86+V107</f>
        <v>0</v>
      </c>
      <c r="W170" s="73" t="n">
        <f aca="false">W86+W107</f>
        <v>73600</v>
      </c>
      <c r="X170" s="73" t="n">
        <f aca="false">X86+X107</f>
        <v>0</v>
      </c>
      <c r="Y170" s="73" t="n">
        <f aca="false">Y86+Y107</f>
        <v>0</v>
      </c>
      <c r="Z170" s="73" t="n">
        <f aca="false">Z86+Z107</f>
        <v>73600</v>
      </c>
      <c r="AA170" s="73" t="n">
        <f aca="false">AA86+AA107</f>
        <v>0</v>
      </c>
      <c r="AB170" s="73" t="n">
        <f aca="false">AB86+AB107</f>
        <v>0</v>
      </c>
    </row>
    <row r="171" customFormat="false" ht="15" hidden="false" customHeight="false" outlineLevel="0" collapsed="false">
      <c r="A171" s="28" t="s">
        <v>929</v>
      </c>
      <c r="B171" s="62"/>
      <c r="C171" s="64" t="n">
        <f aca="false">SUM(E171:P171)</f>
        <v>49500</v>
      </c>
      <c r="D171" s="64" t="n">
        <f aca="false">SUM(Q171:AB171)</f>
        <v>196800</v>
      </c>
      <c r="E171" s="73" t="n">
        <f aca="false">E87+E108</f>
        <v>0</v>
      </c>
      <c r="F171" s="73" t="n">
        <f aca="false">F87+F108</f>
        <v>0</v>
      </c>
      <c r="G171" s="73" t="n">
        <f aca="false">G87+G108</f>
        <v>0</v>
      </c>
      <c r="H171" s="73" t="n">
        <f aca="false">H87+H108</f>
        <v>0</v>
      </c>
      <c r="I171" s="73" t="n">
        <f aca="false">I87+I108</f>
        <v>0</v>
      </c>
      <c r="J171" s="73" t="n">
        <f aca="false">J87+J108</f>
        <v>0</v>
      </c>
      <c r="K171" s="73" t="n">
        <f aca="false">K87+K108</f>
        <v>0</v>
      </c>
      <c r="L171" s="73" t="n">
        <f aca="false">L87+L108</f>
        <v>0</v>
      </c>
      <c r="M171" s="73" t="n">
        <f aca="false">M87+M108</f>
        <v>0</v>
      </c>
      <c r="N171" s="73" t="n">
        <f aca="false">N87+N108</f>
        <v>0</v>
      </c>
      <c r="O171" s="73" t="n">
        <f aca="false">O87+O108</f>
        <v>49500</v>
      </c>
      <c r="P171" s="73" t="n">
        <f aca="false">P87+P108</f>
        <v>0</v>
      </c>
      <c r="Q171" s="73" t="n">
        <f aca="false">Q87+Q108</f>
        <v>0</v>
      </c>
      <c r="R171" s="73" t="n">
        <f aca="false">R87+R108</f>
        <v>49500</v>
      </c>
      <c r="S171" s="73" t="n">
        <f aca="false">S87+S108</f>
        <v>0</v>
      </c>
      <c r="T171" s="73" t="n">
        <f aca="false">T87+T108</f>
        <v>0</v>
      </c>
      <c r="U171" s="73" t="n">
        <f aca="false">U87+U108</f>
        <v>49500</v>
      </c>
      <c r="V171" s="73" t="n">
        <f aca="false">V87+V108</f>
        <v>0</v>
      </c>
      <c r="W171" s="73" t="n">
        <f aca="false">W87+W108</f>
        <v>0</v>
      </c>
      <c r="X171" s="73" t="n">
        <f aca="false">X87+X108</f>
        <v>49500</v>
      </c>
      <c r="Y171" s="73" t="n">
        <f aca="false">Y87+Y108</f>
        <v>0</v>
      </c>
      <c r="Z171" s="73" t="n">
        <f aca="false">Z87+Z108</f>
        <v>0</v>
      </c>
      <c r="AA171" s="73" t="n">
        <f aca="false">AA87+AA108</f>
        <v>48300</v>
      </c>
      <c r="AB171" s="73" t="n">
        <f aca="false">AB87+AB108</f>
        <v>0</v>
      </c>
    </row>
    <row r="172" customFormat="false" ht="15" hidden="false" customHeight="false" outlineLevel="0" collapsed="false">
      <c r="A172" s="28" t="s">
        <v>930</v>
      </c>
      <c r="B172" s="62"/>
      <c r="C172" s="64" t="n">
        <f aca="false">SUM(E172:P172)</f>
        <v>30000</v>
      </c>
      <c r="D172" s="64" t="n">
        <f aca="false">SUM(Q172:AB172)</f>
        <v>119900</v>
      </c>
      <c r="E172" s="73" t="n">
        <f aca="false">E88+E109</f>
        <v>0</v>
      </c>
      <c r="F172" s="73" t="n">
        <f aca="false">F88+F109</f>
        <v>0</v>
      </c>
      <c r="G172" s="73" t="n">
        <f aca="false">G88+G109</f>
        <v>0</v>
      </c>
      <c r="H172" s="73" t="n">
        <f aca="false">H88+H109</f>
        <v>0</v>
      </c>
      <c r="I172" s="73" t="n">
        <f aca="false">I88+I109</f>
        <v>0</v>
      </c>
      <c r="J172" s="73" t="n">
        <f aca="false">J88+J109</f>
        <v>0</v>
      </c>
      <c r="K172" s="73" t="n">
        <f aca="false">K88+K109</f>
        <v>0</v>
      </c>
      <c r="L172" s="73" t="n">
        <f aca="false">L88+L109</f>
        <v>0</v>
      </c>
      <c r="M172" s="73" t="n">
        <f aca="false">M88+M109</f>
        <v>0</v>
      </c>
      <c r="N172" s="73" t="n">
        <f aca="false">N88+N109</f>
        <v>0</v>
      </c>
      <c r="O172" s="73" t="n">
        <f aca="false">O88+O109</f>
        <v>0</v>
      </c>
      <c r="P172" s="73" t="n">
        <f aca="false">P88+P109</f>
        <v>30000</v>
      </c>
      <c r="Q172" s="73" t="n">
        <f aca="false">Q88+Q109</f>
        <v>0</v>
      </c>
      <c r="R172" s="73" t="n">
        <f aca="false">R88+R109</f>
        <v>0</v>
      </c>
      <c r="S172" s="73" t="n">
        <f aca="false">S88+S109</f>
        <v>30000</v>
      </c>
      <c r="T172" s="73" t="n">
        <f aca="false">T88+T109</f>
        <v>0</v>
      </c>
      <c r="U172" s="73" t="n">
        <f aca="false">U88+U109</f>
        <v>0</v>
      </c>
      <c r="V172" s="73" t="n">
        <f aca="false">V88+V109</f>
        <v>30000</v>
      </c>
      <c r="W172" s="73" t="n">
        <f aca="false">W88+W109</f>
        <v>0</v>
      </c>
      <c r="X172" s="73" t="n">
        <f aca="false">X88+X109</f>
        <v>0</v>
      </c>
      <c r="Y172" s="73" t="n">
        <f aca="false">Y88+Y109</f>
        <v>30000</v>
      </c>
      <c r="Z172" s="73" t="n">
        <f aca="false">Z88+Z109</f>
        <v>0</v>
      </c>
      <c r="AA172" s="73" t="n">
        <f aca="false">AA88+AA109</f>
        <v>0</v>
      </c>
      <c r="AB172" s="73" t="n">
        <f aca="false">AB88+AB109</f>
        <v>29900</v>
      </c>
    </row>
    <row r="173" customFormat="false" ht="15" hidden="false" customHeight="false" outlineLevel="0" collapsed="false">
      <c r="A173" s="28" t="s">
        <v>931</v>
      </c>
      <c r="B173" s="62"/>
      <c r="C173" s="64" t="n">
        <f aca="false">SUM(E173:P173)</f>
        <v>0</v>
      </c>
      <c r="D173" s="64" t="n">
        <f aca="false">SUM(Q173:AB173)</f>
        <v>168000</v>
      </c>
      <c r="E173" s="73" t="n">
        <f aca="false">E89+E110</f>
        <v>0</v>
      </c>
      <c r="F173" s="73" t="n">
        <f aca="false">F89+F110</f>
        <v>0</v>
      </c>
      <c r="G173" s="73" t="n">
        <f aca="false">G89+G110</f>
        <v>0</v>
      </c>
      <c r="H173" s="73" t="n">
        <f aca="false">H89+H110</f>
        <v>0</v>
      </c>
      <c r="I173" s="73" t="n">
        <f aca="false">I89+I110</f>
        <v>0</v>
      </c>
      <c r="J173" s="73" t="n">
        <f aca="false">J89+J110</f>
        <v>0</v>
      </c>
      <c r="K173" s="73" t="n">
        <f aca="false">K89+K110</f>
        <v>0</v>
      </c>
      <c r="L173" s="73" t="n">
        <f aca="false">L89+L110</f>
        <v>0</v>
      </c>
      <c r="M173" s="73" t="n">
        <f aca="false">M89+M110</f>
        <v>0</v>
      </c>
      <c r="N173" s="73" t="n">
        <f aca="false">N89+N110</f>
        <v>0</v>
      </c>
      <c r="O173" s="73" t="n">
        <f aca="false">O89+O110</f>
        <v>0</v>
      </c>
      <c r="P173" s="73" t="n">
        <f aca="false">P89+P110</f>
        <v>0</v>
      </c>
      <c r="Q173" s="73" t="n">
        <f aca="false">Q89+Q110</f>
        <v>0</v>
      </c>
      <c r="R173" s="73" t="n">
        <f aca="false">R89+R110</f>
        <v>42000</v>
      </c>
      <c r="S173" s="73" t="n">
        <f aca="false">S89+S110</f>
        <v>0</v>
      </c>
      <c r="T173" s="73" t="n">
        <f aca="false">T89+T110</f>
        <v>0</v>
      </c>
      <c r="U173" s="73" t="n">
        <f aca="false">U89+U110</f>
        <v>42000</v>
      </c>
      <c r="V173" s="73" t="n">
        <f aca="false">V89+V110</f>
        <v>0</v>
      </c>
      <c r="W173" s="73" t="n">
        <f aca="false">W89+W110</f>
        <v>0</v>
      </c>
      <c r="X173" s="73" t="n">
        <f aca="false">X89+X110</f>
        <v>42000</v>
      </c>
      <c r="Y173" s="73" t="n">
        <f aca="false">Y89+Y110</f>
        <v>0</v>
      </c>
      <c r="Z173" s="73" t="n">
        <f aca="false">Z89+Z110</f>
        <v>0</v>
      </c>
      <c r="AA173" s="73" t="n">
        <f aca="false">AA89+AA110</f>
        <v>42000</v>
      </c>
      <c r="AB173" s="73" t="n">
        <f aca="false">AB89+AB110</f>
        <v>0</v>
      </c>
    </row>
    <row r="174" customFormat="false" ht="15" hidden="false" customHeight="false" outlineLevel="0" collapsed="false">
      <c r="A174" s="28" t="s">
        <v>932</v>
      </c>
      <c r="B174" s="62"/>
      <c r="C174" s="64" t="n">
        <f aca="false">SUM(E174:P174)</f>
        <v>0</v>
      </c>
      <c r="D174" s="64" t="n">
        <f aca="false">SUM(Q174:AB174)</f>
        <v>90000</v>
      </c>
      <c r="E174" s="73" t="n">
        <f aca="false">E90+E111</f>
        <v>0</v>
      </c>
      <c r="F174" s="73" t="n">
        <f aca="false">F90+F111</f>
        <v>0</v>
      </c>
      <c r="G174" s="73" t="n">
        <f aca="false">G90+G111</f>
        <v>0</v>
      </c>
      <c r="H174" s="73" t="n">
        <f aca="false">H90+H111</f>
        <v>0</v>
      </c>
      <c r="I174" s="73" t="n">
        <f aca="false">I90+I111</f>
        <v>0</v>
      </c>
      <c r="J174" s="73" t="n">
        <f aca="false">J90+J111</f>
        <v>0</v>
      </c>
      <c r="K174" s="73" t="n">
        <f aca="false">K90+K111</f>
        <v>0</v>
      </c>
      <c r="L174" s="73" t="n">
        <f aca="false">L90+L111</f>
        <v>0</v>
      </c>
      <c r="M174" s="73" t="n">
        <f aca="false">M90+M111</f>
        <v>0</v>
      </c>
      <c r="N174" s="73" t="n">
        <f aca="false">N90+N111</f>
        <v>0</v>
      </c>
      <c r="O174" s="73" t="n">
        <f aca="false">O90+O111</f>
        <v>0</v>
      </c>
      <c r="P174" s="73" t="n">
        <f aca="false">P90+P111</f>
        <v>0</v>
      </c>
      <c r="Q174" s="73" t="n">
        <f aca="false">Q90+Q111</f>
        <v>0</v>
      </c>
      <c r="R174" s="73" t="n">
        <f aca="false">R90+R111</f>
        <v>0</v>
      </c>
      <c r="S174" s="73" t="n">
        <f aca="false">S90+S111</f>
        <v>22500</v>
      </c>
      <c r="T174" s="73" t="n">
        <f aca="false">T90+T111</f>
        <v>0</v>
      </c>
      <c r="U174" s="73" t="n">
        <f aca="false">U90+U111</f>
        <v>0</v>
      </c>
      <c r="V174" s="73" t="n">
        <f aca="false">V90+V111</f>
        <v>22500</v>
      </c>
      <c r="W174" s="73" t="n">
        <f aca="false">W90+W111</f>
        <v>0</v>
      </c>
      <c r="X174" s="73" t="n">
        <f aca="false">X90+X111</f>
        <v>0</v>
      </c>
      <c r="Y174" s="73" t="n">
        <f aca="false">Y90+Y111</f>
        <v>22500</v>
      </c>
      <c r="Z174" s="73" t="n">
        <f aca="false">Z90+Z111</f>
        <v>0</v>
      </c>
      <c r="AA174" s="73" t="n">
        <f aca="false">AA90+AA111</f>
        <v>0</v>
      </c>
      <c r="AB174" s="73" t="n">
        <f aca="false">AB90+AB111</f>
        <v>22500</v>
      </c>
    </row>
    <row r="175" customFormat="false" ht="15" hidden="false" customHeight="false" outlineLevel="0" collapsed="false">
      <c r="A175" s="28" t="s">
        <v>933</v>
      </c>
      <c r="B175" s="62"/>
      <c r="C175" s="64" t="n">
        <f aca="false">SUM(E175:P175)</f>
        <v>0</v>
      </c>
      <c r="D175" s="64" t="n">
        <f aca="false">SUM(Q175:AB175)</f>
        <v>101250</v>
      </c>
      <c r="E175" s="73" t="n">
        <f aca="false">E91+E112</f>
        <v>0</v>
      </c>
      <c r="F175" s="73" t="n">
        <f aca="false">F91+F112</f>
        <v>0</v>
      </c>
      <c r="G175" s="73" t="n">
        <f aca="false">G91+G112</f>
        <v>0</v>
      </c>
      <c r="H175" s="73" t="n">
        <f aca="false">H91+H112</f>
        <v>0</v>
      </c>
      <c r="I175" s="73" t="n">
        <f aca="false">I91+I112</f>
        <v>0</v>
      </c>
      <c r="J175" s="73" t="n">
        <f aca="false">J91+J112</f>
        <v>0</v>
      </c>
      <c r="K175" s="73" t="n">
        <f aca="false">K91+K112</f>
        <v>0</v>
      </c>
      <c r="L175" s="73" t="n">
        <f aca="false">L91+L112</f>
        <v>0</v>
      </c>
      <c r="M175" s="73" t="n">
        <f aca="false">M91+M112</f>
        <v>0</v>
      </c>
      <c r="N175" s="73" t="n">
        <f aca="false">N91+N112</f>
        <v>0</v>
      </c>
      <c r="O175" s="73" t="n">
        <f aca="false">O91+O112</f>
        <v>0</v>
      </c>
      <c r="P175" s="73" t="n">
        <f aca="false">P91+P112</f>
        <v>0</v>
      </c>
      <c r="Q175" s="73" t="n">
        <f aca="false">Q91+Q112</f>
        <v>0</v>
      </c>
      <c r="R175" s="73" t="n">
        <f aca="false">R91+R112</f>
        <v>0</v>
      </c>
      <c r="S175" s="73" t="n">
        <f aca="false">S91+S112</f>
        <v>0</v>
      </c>
      <c r="T175" s="73" t="n">
        <f aca="false">T91+T112</f>
        <v>0</v>
      </c>
      <c r="U175" s="73" t="n">
        <f aca="false">U91+U112</f>
        <v>33750</v>
      </c>
      <c r="V175" s="73" t="n">
        <f aca="false">V91+V112</f>
        <v>0</v>
      </c>
      <c r="W175" s="73" t="n">
        <f aca="false">W91+W112</f>
        <v>0</v>
      </c>
      <c r="X175" s="73" t="n">
        <f aca="false">X91+X112</f>
        <v>33750</v>
      </c>
      <c r="Y175" s="73" t="n">
        <f aca="false">Y91+Y112</f>
        <v>0</v>
      </c>
      <c r="Z175" s="73" t="n">
        <f aca="false">Z91+Z112</f>
        <v>0</v>
      </c>
      <c r="AA175" s="73" t="n">
        <f aca="false">AA91+AA112</f>
        <v>33750</v>
      </c>
      <c r="AB175" s="73" t="n">
        <f aca="false">AB91+AB112</f>
        <v>0</v>
      </c>
    </row>
    <row r="176" customFormat="false" ht="15" hidden="false" customHeight="false" outlineLevel="0" collapsed="false">
      <c r="A176" s="22" t="s">
        <v>940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row>
    <row r="177" customFormat="false" ht="15" hidden="false" customHeight="false" outlineLevel="0" collapsed="false">
      <c r="A177" s="28" t="s">
        <v>913</v>
      </c>
      <c r="B177" s="62" t="s">
        <v>941</v>
      </c>
      <c r="C177" s="64" t="n">
        <f aca="false">P177</f>
        <v>-1918.39637109724</v>
      </c>
      <c r="D177" s="64" t="n">
        <f aca="false">AB177</f>
        <v>732.478231431822</v>
      </c>
      <c r="E177" s="65" t="n">
        <f aca="false">Account_Register!$L$7+E156-E135</f>
        <v>22158.91</v>
      </c>
      <c r="F177" s="73" t="n">
        <f aca="false">E177+F156-F135</f>
        <v>-7658.4</v>
      </c>
      <c r="G177" s="73" t="n">
        <f aca="false">F177+G156-G135</f>
        <v>50358.45</v>
      </c>
      <c r="H177" s="73" t="n">
        <f aca="false">G177+H156-H135</f>
        <v>18000.23</v>
      </c>
      <c r="I177" s="73" t="n">
        <f aca="false">H177+I156-I135</f>
        <v>0</v>
      </c>
      <c r="J177" s="73" t="n">
        <f aca="false">I177+J156-J135</f>
        <v>59317.89</v>
      </c>
      <c r="K177" s="73" t="n">
        <f aca="false">J177+K156-K135</f>
        <v>18369.72</v>
      </c>
      <c r="L177" s="73" t="n">
        <f aca="false">K177+L156-L135</f>
        <v>-21877.63</v>
      </c>
      <c r="M177" s="73" t="n">
        <f aca="false">L177+M156-M135</f>
        <v>31989.5783</v>
      </c>
      <c r="N177" s="73" t="n">
        <f aca="false">M177+N156-N135</f>
        <v>-10048.1348174</v>
      </c>
      <c r="O177" s="73" t="n">
        <f aca="false">N177+O156-O135</f>
        <v>-53010.6776233828</v>
      </c>
      <c r="P177" s="73" t="n">
        <f aca="false">O177+P156-P135</f>
        <v>-1918.39637109724</v>
      </c>
      <c r="Q177" s="73" t="n">
        <f aca="false">P177+Q156-Q135</f>
        <v>-46792.0849312614</v>
      </c>
      <c r="R177" s="73" t="n">
        <f aca="false">Q177+R156-R135</f>
        <v>-92652.9946397491</v>
      </c>
      <c r="S177" s="73" t="n">
        <f aca="false">R177+S156-S135</f>
        <v>0</v>
      </c>
      <c r="T177" s="73" t="n">
        <f aca="false">S177+T156-T135</f>
        <v>0</v>
      </c>
      <c r="U177" s="73" t="n">
        <f aca="false">T177+U156-U135</f>
        <v>0</v>
      </c>
      <c r="V177" s="73" t="n">
        <f aca="false">U177+V156-V135</f>
        <v>68970.7312159673</v>
      </c>
      <c r="W177" s="73" t="n">
        <f aca="false">V177+W156-W135</f>
        <v>21928.8185186859</v>
      </c>
      <c r="X177" s="73" t="n">
        <f aca="false">W177+X156-X135</f>
        <v>-26148.0162579357</v>
      </c>
      <c r="Y177" s="73" t="n">
        <f aca="false">X177+Y156-Y135</f>
        <v>39717.458600357</v>
      </c>
      <c r="Z177" s="73" t="n">
        <f aca="false">Y177+Z156-Z135</f>
        <v>-10498.0260944678</v>
      </c>
      <c r="AA177" s="73" t="n">
        <f aca="false">Z177+AA156-AA135</f>
        <v>-61818.2514525788</v>
      </c>
      <c r="AB177" s="73" t="n">
        <f aca="false">AA177+AB156-AB135</f>
        <v>732.478231431822</v>
      </c>
    </row>
    <row r="178" customFormat="false" ht="15" hidden="false" customHeight="false" outlineLevel="0" collapsed="false">
      <c r="A178" s="28" t="s">
        <v>915</v>
      </c>
      <c r="B178" s="62" t="s">
        <v>941</v>
      </c>
      <c r="C178" s="64" t="n">
        <f aca="false">P178</f>
        <v>15586.594117079</v>
      </c>
      <c r="D178" s="64" t="n">
        <f aca="false">AB178</f>
        <v>5995.12406507143</v>
      </c>
      <c r="E178" s="65" t="n">
        <f aca="false">Account_Register!$L$8+E157-E136</f>
        <v>76042.79</v>
      </c>
      <c r="F178" s="73" t="n">
        <f aca="false">E178+F157-F136</f>
        <v>60385.24</v>
      </c>
      <c r="G178" s="73" t="n">
        <f aca="false">F178+G157-G136</f>
        <v>42653</v>
      </c>
      <c r="H178" s="73" t="n">
        <f aca="false">G178+H157-H136</f>
        <v>95740.24</v>
      </c>
      <c r="I178" s="73" t="n">
        <f aca="false">H178+I157-I136</f>
        <v>79178.27</v>
      </c>
      <c r="J178" s="73" t="n">
        <f aca="false">I178+J157-J136</f>
        <v>59859.12</v>
      </c>
      <c r="K178" s="73" t="n">
        <f aca="false">J178+K157-K136</f>
        <v>111513.25</v>
      </c>
      <c r="L178" s="73" t="n">
        <f aca="false">K178+L157-L136</f>
        <v>93397.41</v>
      </c>
      <c r="M178" s="73" t="n">
        <f aca="false">L178+M157-M136</f>
        <v>0</v>
      </c>
      <c r="N178" s="73" t="n">
        <f aca="false">M178+N157-N136</f>
        <v>50537.0520576</v>
      </c>
      <c r="O178" s="73" t="n">
        <f aca="false">N178+O157-O136</f>
        <v>33234.845156352</v>
      </c>
      <c r="P178" s="73" t="n">
        <f aca="false">O178+P157-P136</f>
        <v>15586.594117079</v>
      </c>
      <c r="Q178" s="73" t="n">
        <f aca="false">P178+Q157-Q136</f>
        <v>65085.3780570206</v>
      </c>
      <c r="R178" s="73" t="n">
        <f aca="false">Q178+R157-R136</f>
        <v>46724.137675761</v>
      </c>
      <c r="S178" s="73" t="n">
        <f aca="false">R178+S157-S136</f>
        <v>27995.6724868762</v>
      </c>
      <c r="T178" s="73" t="n">
        <f aca="false">S178+T157-T136</f>
        <v>76392.6379942137</v>
      </c>
      <c r="U178" s="73" t="n">
        <f aca="false">T178+U157-U136</f>
        <v>56907.542811698</v>
      </c>
      <c r="V178" s="73" t="n">
        <f aca="false">U178+V157-V136</f>
        <v>37032.745725532</v>
      </c>
      <c r="W178" s="73" t="n">
        <f aca="false">V178+W157-W136</f>
        <v>84260.4526976426</v>
      </c>
      <c r="X178" s="73" t="n">
        <f aca="false">W178+X157-X136</f>
        <v>63582.7138091954</v>
      </c>
      <c r="Y178" s="73" t="n">
        <f aca="false">X178+Y157-Y136</f>
        <v>0</v>
      </c>
      <c r="Z178" s="73" t="n">
        <f aca="false">Y178+Z157-Z136</f>
        <v>45888.1924144136</v>
      </c>
      <c r="AA178" s="73" t="n">
        <f aca="false">Z178+AA157-AA136</f>
        <v>26139.1486771155</v>
      </c>
      <c r="AB178" s="73" t="n">
        <f aca="false">AA178+AB157-AB136</f>
        <v>5995.12406507143</v>
      </c>
    </row>
    <row r="179" customFormat="false" ht="15" hidden="false" customHeight="false" outlineLevel="0" collapsed="false">
      <c r="A179" s="28" t="s">
        <v>916</v>
      </c>
      <c r="B179" s="62" t="s">
        <v>941</v>
      </c>
      <c r="C179" s="64" t="n">
        <f aca="false">P179</f>
        <v>0</v>
      </c>
      <c r="D179" s="64" t="n">
        <f aca="false">AB179</f>
        <v>0</v>
      </c>
      <c r="E179" s="65" t="n">
        <f aca="false">Account_Register!$L$9+E158-E137</f>
        <v>0</v>
      </c>
      <c r="F179" s="73" t="n">
        <f aca="false">E179+F158-F137</f>
        <v>52410.23</v>
      </c>
      <c r="G179" s="73" t="n">
        <f aca="false">F179+G158-G137</f>
        <v>23759.87</v>
      </c>
      <c r="H179" s="73" t="n">
        <f aca="false">G179+H158-H137</f>
        <v>-6840.5</v>
      </c>
      <c r="I179" s="73" t="n">
        <f aca="false">H179+I158-I137</f>
        <v>41319.79</v>
      </c>
      <c r="J179" s="73" t="n">
        <f aca="false">I179+J158-J137</f>
        <v>10921.12</v>
      </c>
      <c r="K179" s="73" t="n">
        <f aca="false">J179+K158-K137</f>
        <v>-24003.84</v>
      </c>
      <c r="L179" s="73" t="n">
        <f aca="false">K179+L158-L137</f>
        <v>21657.16</v>
      </c>
      <c r="M179" s="73" t="n">
        <f aca="false">L179+M158-M137</f>
        <v>-13299.942</v>
      </c>
      <c r="N179" s="73" t="n">
        <f aca="false">M179+N158-N137</f>
        <v>-48886.271836</v>
      </c>
      <c r="O179" s="73" t="n">
        <f aca="false">N179+O158-O137</f>
        <v>0</v>
      </c>
      <c r="P179" s="73" t="n">
        <f aca="false">O179+P158-P137</f>
        <v>0</v>
      </c>
      <c r="Q179" s="73" t="n">
        <f aca="false">P179+Q158-Q137</f>
        <v>0</v>
      </c>
      <c r="R179" s="73" t="n">
        <f aca="false">Q179+R158-R137</f>
        <v>51103.2966272945</v>
      </c>
      <c r="S179" s="73" t="n">
        <f aca="false">R179+S158-S137</f>
        <v>16087.4525938802</v>
      </c>
      <c r="T179" s="73" t="n">
        <f aca="false">S179+T158-T137</f>
        <v>-19558.6766321355</v>
      </c>
      <c r="U179" s="73" t="n">
        <f aca="false">T179+U158-U137</f>
        <v>29653.5638157805</v>
      </c>
      <c r="V179" s="73" t="n">
        <f aca="false">U179+V158-V137</f>
        <v>-7287.37540824097</v>
      </c>
      <c r="W179" s="73" t="n">
        <f aca="false">V179+W158-W137</f>
        <v>-44893.2515382949</v>
      </c>
      <c r="X179" s="73" t="n">
        <f aca="false">W179+X158-X137</f>
        <v>2323.96656131029</v>
      </c>
      <c r="Y179" s="73" t="n">
        <f aca="false">X179+Y158-Y137</f>
        <v>-36647.9054132917</v>
      </c>
      <c r="Z179" s="73" t="n">
        <f aca="false">Y179+Z158-Z137</f>
        <v>-76321.2710834365</v>
      </c>
      <c r="AA179" s="73" t="n">
        <f aca="false">Z179+AA158-AA137</f>
        <v>0</v>
      </c>
      <c r="AB179" s="73" t="n">
        <f aca="false">AA179+AB158-AB137</f>
        <v>0</v>
      </c>
    </row>
    <row r="180" customFormat="false" ht="15" hidden="false" customHeight="false" outlineLevel="0" collapsed="false">
      <c r="A180" s="28" t="s">
        <v>917</v>
      </c>
      <c r="B180" s="62" t="s">
        <v>941</v>
      </c>
      <c r="C180" s="64" t="n">
        <f aca="false">P180</f>
        <v>19800.7381070022</v>
      </c>
      <c r="D180" s="64" t="n">
        <f aca="false">AB180</f>
        <v>9395.23331420096</v>
      </c>
      <c r="E180" s="65" t="n">
        <f aca="false">Account_Register!$L$10+E159-E138</f>
        <v>61094.67</v>
      </c>
      <c r="F180" s="73" t="n">
        <f aca="false">E180+F159-F138</f>
        <v>45973.02</v>
      </c>
      <c r="G180" s="73" t="n">
        <f aca="false">F180+G159-G138</f>
        <v>0</v>
      </c>
      <c r="H180" s="73" t="n">
        <f aca="false">G180+H159-H138</f>
        <v>37746.08</v>
      </c>
      <c r="I180" s="73" t="n">
        <f aca="false">H180+I159-I138</f>
        <v>22528.66</v>
      </c>
      <c r="J180" s="73" t="n">
        <f aca="false">I180+J159-J138</f>
        <v>6783.35</v>
      </c>
      <c r="K180" s="73" t="n">
        <f aca="false">J180+K159-K138</f>
        <v>43029.26</v>
      </c>
      <c r="L180" s="73" t="n">
        <f aca="false">K180+L159-L138</f>
        <v>28389.83</v>
      </c>
      <c r="M180" s="73" t="n">
        <f aca="false">L180+M159-M138</f>
        <v>13501.52969</v>
      </c>
      <c r="N180" s="73" t="n">
        <f aca="false">M180+N159-N138</f>
        <v>50860.12827473</v>
      </c>
      <c r="O180" s="73" t="n">
        <f aca="false">N180+O159-O138</f>
        <v>35461.3230354004</v>
      </c>
      <c r="P180" s="73" t="n">
        <f aca="false">O180+P159-P138</f>
        <v>19800.7381070022</v>
      </c>
      <c r="Q180" s="73" t="n">
        <f aca="false">P180+Q159-Q138</f>
        <v>56373.9232348213</v>
      </c>
      <c r="R180" s="73" t="n">
        <f aca="false">Q180+R159-R138</f>
        <v>40176.3525098133</v>
      </c>
      <c r="S180" s="73" t="n">
        <f aca="false">R180+S159-S138</f>
        <v>0</v>
      </c>
      <c r="T180" s="73" t="n">
        <f aca="false">S180+T159-T138</f>
        <v>34634.9761565418</v>
      </c>
      <c r="U180" s="73" t="n">
        <f aca="false">T180+U159-U138</f>
        <v>20152.8719077449</v>
      </c>
      <c r="V180" s="73" t="n">
        <f aca="false">U180+V159-V138</f>
        <v>5424.57188671842</v>
      </c>
      <c r="W180" s="73" t="n">
        <f aca="false">V180+W159-W138</f>
        <v>39320.8907653345</v>
      </c>
      <c r="X180" s="73" t="n">
        <f aca="false">W180+X159-X138</f>
        <v>24087.572064887</v>
      </c>
      <c r="Y180" s="73" t="n">
        <f aca="false">X180+Y159-Y138</f>
        <v>8595.28694653196</v>
      </c>
      <c r="Z180" s="73" t="n">
        <f aca="false">Y180+Z159-Z138</f>
        <v>41714.6329811649</v>
      </c>
      <c r="AA180" s="73" t="n">
        <f aca="false">Z180+AA159-AA138</f>
        <v>25691.1328983865</v>
      </c>
      <c r="AB180" s="73" t="n">
        <f aca="false">AA180+AB159-AB138</f>
        <v>9395.23331420096</v>
      </c>
    </row>
    <row r="181" customFormat="false" ht="15" hidden="false" customHeight="false" outlineLevel="0" collapsed="false">
      <c r="A181" s="28" t="s">
        <v>918</v>
      </c>
      <c r="B181" s="62" t="s">
        <v>941</v>
      </c>
      <c r="C181" s="64" t="n">
        <f aca="false">P181</f>
        <v>28477.9516285231</v>
      </c>
      <c r="D181" s="64" t="n">
        <f aca="false">AB181</f>
        <v>11439.7940768929</v>
      </c>
      <c r="E181" s="65" t="n">
        <f aca="false">Account_Register!$L$11+E160-E139</f>
        <v>68021.37</v>
      </c>
      <c r="F181" s="73" t="n">
        <f aca="false">E181+F160-F139</f>
        <v>52164.24</v>
      </c>
      <c r="G181" s="73" t="n">
        <f aca="false">F181+G160-G139</f>
        <v>36779.46</v>
      </c>
      <c r="H181" s="73" t="n">
        <f aca="false">G181+H160-H139</f>
        <v>82721.74</v>
      </c>
      <c r="I181" s="73" t="n">
        <f aca="false">H181+I160-I139</f>
        <v>67832.45</v>
      </c>
      <c r="J181" s="73" t="n">
        <f aca="false">I181+J160-J139</f>
        <v>0</v>
      </c>
      <c r="K181" s="73" t="n">
        <f aca="false">J181+K160-K139</f>
        <v>49078.82</v>
      </c>
      <c r="L181" s="73" t="n">
        <f aca="false">K181+L160-L139</f>
        <v>32596.97</v>
      </c>
      <c r="M181" s="73" t="n">
        <f aca="false">L181+M160-M139</f>
        <v>15801.96485</v>
      </c>
      <c r="N181" s="73" t="n">
        <f aca="false">M181+N160-N139</f>
        <v>63687.85460215</v>
      </c>
      <c r="O181" s="73" t="n">
        <f aca="false">N181+O160-O139</f>
        <v>46248.5762595909</v>
      </c>
      <c r="P181" s="73" t="n">
        <f aca="false">O181+P160-P139</f>
        <v>28477.9516285231</v>
      </c>
      <c r="Q181" s="73" t="n">
        <f aca="false">P181+Q160-Q139</f>
        <v>75369.685129465</v>
      </c>
      <c r="R181" s="73" t="n">
        <f aca="false">Q181+R160-R139</f>
        <v>56917.3615669249</v>
      </c>
      <c r="S181" s="73" t="n">
        <f aca="false">R181+S160-S139</f>
        <v>38114.4438566965</v>
      </c>
      <c r="T181" s="73" t="n">
        <f aca="false">S181+T160-T139</f>
        <v>83954.2707099737</v>
      </c>
      <c r="U181" s="73" t="n">
        <f aca="false">T181+U160-U139</f>
        <v>64430.0542734632</v>
      </c>
      <c r="V181" s="73" t="n">
        <f aca="false">U181+V160-V139</f>
        <v>0</v>
      </c>
      <c r="W181" s="73" t="n">
        <f aca="false">V181+W160-W139</f>
        <v>45748.6698890271</v>
      </c>
      <c r="X181" s="73" t="n">
        <f aca="false">W181+X160-X139</f>
        <v>26742.9645059456</v>
      </c>
      <c r="Y181" s="73" t="n">
        <f aca="false">X181+Y160-Y139</f>
        <v>7376.15072058566</v>
      </c>
      <c r="Z181" s="73" t="n">
        <f aca="false">Y181+Z160-Z139</f>
        <v>52041.3674733039</v>
      </c>
      <c r="AA181" s="73" t="n">
        <f aca="false">Z181+AA160-AA139</f>
        <v>31931.6233443237</v>
      </c>
      <c r="AB181" s="73" t="n">
        <f aca="false">AA181+AB160-AB139</f>
        <v>11439.7940768929</v>
      </c>
    </row>
    <row r="182" customFormat="false" ht="15" hidden="false" customHeight="false" outlineLevel="0" collapsed="false">
      <c r="A182" s="28" t="s">
        <v>919</v>
      </c>
      <c r="B182" s="62" t="s">
        <v>941</v>
      </c>
      <c r="C182" s="64" t="n">
        <f aca="false">P182</f>
        <v>44179.0736461704</v>
      </c>
      <c r="D182" s="64" t="n">
        <f aca="false">AB182</f>
        <v>34008.7524530041</v>
      </c>
      <c r="E182" s="65" t="n">
        <f aca="false">Account_Register!$L$12+E161-E140</f>
        <v>32418.9</v>
      </c>
      <c r="F182" s="73" t="n">
        <f aca="false">E182+F161-F140</f>
        <v>16067.65</v>
      </c>
      <c r="G182" s="73" t="n">
        <f aca="false">F182+G161-G140</f>
        <v>56624.06</v>
      </c>
      <c r="H182" s="73" t="n">
        <f aca="false">G182+H161-H140</f>
        <v>42552.56</v>
      </c>
      <c r="I182" s="73" t="n">
        <f aca="false">H182+I161-I140</f>
        <v>28050.68</v>
      </c>
      <c r="J182" s="73" t="n">
        <f aca="false">I182+J161-J140</f>
        <v>68409.6</v>
      </c>
      <c r="K182" s="73" t="n">
        <f aca="false">J182+K161-K140</f>
        <v>51950.38</v>
      </c>
      <c r="L182" s="73" t="n">
        <f aca="false">K182+L161-L140</f>
        <v>0</v>
      </c>
      <c r="M182" s="73" t="n">
        <f aca="false">L182+M161-M140</f>
        <v>38422.629072</v>
      </c>
      <c r="N182" s="73" t="n">
        <f aca="false">M182+N161-N140</f>
        <v>22596.020209152</v>
      </c>
      <c r="O182" s="73" t="n">
        <f aca="false">N182+O161-O140</f>
        <v>6516.18560449843</v>
      </c>
      <c r="P182" s="73" t="n">
        <f aca="false">O182+P161-P140</f>
        <v>44179.0736461704</v>
      </c>
      <c r="Q182" s="73" t="n">
        <f aca="false">P182+Q161-Q140</f>
        <v>27580.5678965091</v>
      </c>
      <c r="R182" s="73" t="n">
        <f aca="false">Q182+R161-R140</f>
        <v>10716.4860548533</v>
      </c>
      <c r="S182" s="73" t="n">
        <f aca="false">R182+S161-S140</f>
        <v>47582.5789037309</v>
      </c>
      <c r="T182" s="73" t="n">
        <f aca="false">S182+T161-T140</f>
        <v>30174.5292381906</v>
      </c>
      <c r="U182" s="73" t="n">
        <f aca="false">T182+U161-U140</f>
        <v>12487.9507780017</v>
      </c>
      <c r="V182" s="73" t="n">
        <f aca="false">U182+V161-V140</f>
        <v>48518.3870624497</v>
      </c>
      <c r="W182" s="73" t="n">
        <f aca="false">V182+W161-W140</f>
        <v>30261.3103274489</v>
      </c>
      <c r="X182" s="73" t="n">
        <f aca="false">W182+X161-X140</f>
        <v>0</v>
      </c>
      <c r="Y182" s="73" t="n">
        <f aca="false">X182+Y161-Y140</f>
        <v>34788.6206980515</v>
      </c>
      <c r="Z182" s="73" t="n">
        <f aca="false">Y182+Z161-Z140</f>
        <v>17555.8593272718</v>
      </c>
      <c r="AA182" s="73" t="n">
        <f aca="false">Z182+AA161-AA140</f>
        <v>47.3737745596773</v>
      </c>
      <c r="AB182" s="73" t="n">
        <f aca="false">AA182+AB161-AB140</f>
        <v>34008.7524530041</v>
      </c>
    </row>
    <row r="183" customFormat="false" ht="15" hidden="false" customHeight="false" outlineLevel="0" collapsed="false">
      <c r="A183" s="28" t="s">
        <v>920</v>
      </c>
      <c r="B183" s="62" t="s">
        <v>941</v>
      </c>
      <c r="C183" s="64" t="n">
        <f aca="false">P183</f>
        <v>12990.6464114293</v>
      </c>
      <c r="D183" s="64" t="n">
        <f aca="false">AB183</f>
        <v>7581.23900951988</v>
      </c>
      <c r="E183" s="65" t="n">
        <f aca="false">Account_Register!$L$13+E162-E141</f>
        <v>1906.19</v>
      </c>
      <c r="F183" s="73" t="n">
        <f aca="false">E183+F162-F141</f>
        <v>29213.39</v>
      </c>
      <c r="G183" s="73" t="n">
        <f aca="false">F183+G162-G141</f>
        <v>14302.61</v>
      </c>
      <c r="H183" s="73" t="n">
        <f aca="false">G183+H162-H141</f>
        <v>-1028.4</v>
      </c>
      <c r="I183" s="73" t="n">
        <f aca="false">H183+I162-I141</f>
        <v>25314.09</v>
      </c>
      <c r="J183" s="73" t="n">
        <f aca="false">I183+J162-J141</f>
        <v>9766.19</v>
      </c>
      <c r="K183" s="73" t="n">
        <f aca="false">J183+K162-K141</f>
        <v>-5331.37</v>
      </c>
      <c r="L183" s="73" t="n">
        <f aca="false">K183+L162-L141</f>
        <v>22811.31</v>
      </c>
      <c r="M183" s="73" t="n">
        <f aca="false">L183+M162-M141</f>
        <v>8195.55824000001</v>
      </c>
      <c r="N183" s="73" t="n">
        <f aca="false">M183+N162-N141</f>
        <v>0</v>
      </c>
      <c r="O183" s="73" t="n">
        <f aca="false">N183+O162-O141</f>
        <v>26868.0111057628</v>
      </c>
      <c r="P183" s="73" t="n">
        <f aca="false">O183+P162-P141</f>
        <v>12990.6464114293</v>
      </c>
      <c r="Q183" s="73" t="n">
        <f aca="false">P183+Q162-Q141</f>
        <v>-1136.51084740219</v>
      </c>
      <c r="R183" s="73" t="n">
        <f aca="false">Q183+R162-R141</f>
        <v>24982.0430631074</v>
      </c>
      <c r="S183" s="73" t="n">
        <f aca="false">R183+S162-S141</f>
        <v>10341.7309440061</v>
      </c>
      <c r="T183" s="73" t="n">
        <f aca="false">S183+T162-T141</f>
        <v>-4562.10679323904</v>
      </c>
      <c r="U183" s="73" t="n">
        <f aca="false">T183+U162-U141</f>
        <v>20765.7863902454</v>
      </c>
      <c r="V183" s="73" t="n">
        <f aca="false">U183+V162-V141</f>
        <v>5320.58165103265</v>
      </c>
      <c r="W183" s="73" t="n">
        <f aca="false">V183+W162-W141</f>
        <v>-10402.636773486</v>
      </c>
      <c r="X183" s="73" t="n">
        <f aca="false">W183+X162-X141</f>
        <v>14091.1268703541</v>
      </c>
      <c r="Y183" s="73" t="n">
        <f aca="false">X183+Y162-Y141</f>
        <v>0</v>
      </c>
      <c r="Z183" s="73" t="n">
        <f aca="false">Y183+Z162-Z141</f>
        <v>0</v>
      </c>
      <c r="AA183" s="73" t="n">
        <f aca="false">Z183+AA162-AA141</f>
        <v>23052.3979234489</v>
      </c>
      <c r="AB183" s="73" t="n">
        <f aca="false">AA183+AB162-AB141</f>
        <v>7581.23900951988</v>
      </c>
    </row>
    <row r="184" customFormat="false" ht="15" hidden="false" customHeight="false" outlineLevel="0" collapsed="false">
      <c r="A184" s="28" t="s">
        <v>921</v>
      </c>
      <c r="B184" s="62" t="s">
        <v>941</v>
      </c>
      <c r="C184" s="64" t="n">
        <f aca="false">P184</f>
        <v>0</v>
      </c>
      <c r="D184" s="64" t="n">
        <f aca="false">AB184</f>
        <v>0</v>
      </c>
      <c r="E184" s="65" t="n">
        <f aca="false">Account_Register!$L$14+E163-E142</f>
        <v>7417.11</v>
      </c>
      <c r="F184" s="73" t="n">
        <f aca="false">E184+F163-F142</f>
        <v>0</v>
      </c>
      <c r="G184" s="73" t="n">
        <f aca="false">F184+G163-G142</f>
        <v>0</v>
      </c>
      <c r="H184" s="73" t="n">
        <f aca="false">G184+H163-H142</f>
        <v>0</v>
      </c>
      <c r="I184" s="73" t="n">
        <f aca="false">H184+I163-I142</f>
        <v>0</v>
      </c>
      <c r="J184" s="73" t="n">
        <f aca="false">I184+J163-J142</f>
        <v>0</v>
      </c>
      <c r="K184" s="73" t="n">
        <f aca="false">J184+K163-K142</f>
        <v>0</v>
      </c>
      <c r="L184" s="73" t="n">
        <f aca="false">K184+L163-L142</f>
        <v>0</v>
      </c>
      <c r="M184" s="73" t="n">
        <f aca="false">L184+M163-M142</f>
        <v>0</v>
      </c>
      <c r="N184" s="73" t="n">
        <f aca="false">M184+N163-N142</f>
        <v>0</v>
      </c>
      <c r="O184" s="73" t="n">
        <f aca="false">N184+O163-O142</f>
        <v>0</v>
      </c>
      <c r="P184" s="73" t="n">
        <f aca="false">O184+P163-P142</f>
        <v>0</v>
      </c>
      <c r="Q184" s="73" t="n">
        <f aca="false">P184+Q163-Q142</f>
        <v>0</v>
      </c>
      <c r="R184" s="73" t="n">
        <f aca="false">Q184+R163-R142</f>
        <v>0</v>
      </c>
      <c r="S184" s="73" t="n">
        <f aca="false">R184+S163-S142</f>
        <v>0</v>
      </c>
      <c r="T184" s="73" t="n">
        <f aca="false">S184+T163-T142</f>
        <v>0</v>
      </c>
      <c r="U184" s="73" t="n">
        <f aca="false">T184+U163-U142</f>
        <v>0</v>
      </c>
      <c r="V184" s="73" t="n">
        <f aca="false">U184+V163-V142</f>
        <v>0</v>
      </c>
      <c r="W184" s="73" t="n">
        <f aca="false">V184+W163-W142</f>
        <v>0</v>
      </c>
      <c r="X184" s="73" t="n">
        <f aca="false">W184+X163-X142</f>
        <v>0</v>
      </c>
      <c r="Y184" s="73" t="n">
        <f aca="false">X184+Y163-Y142</f>
        <v>0</v>
      </c>
      <c r="Z184" s="73" t="n">
        <f aca="false">Y184+Z163-Z142</f>
        <v>0</v>
      </c>
      <c r="AA184" s="73" t="n">
        <f aca="false">Z184+AA163-AA142</f>
        <v>0</v>
      </c>
      <c r="AB184" s="73" t="n">
        <f aca="false">AA184+AB163-AB142</f>
        <v>0</v>
      </c>
    </row>
    <row r="185" customFormat="false" ht="15" hidden="false" customHeight="false" outlineLevel="0" collapsed="false">
      <c r="A185" s="28" t="s">
        <v>922</v>
      </c>
      <c r="B185" s="62" t="s">
        <v>941</v>
      </c>
      <c r="C185" s="64" t="n">
        <f aca="false">P185</f>
        <v>35247.4100099296</v>
      </c>
      <c r="D185" s="64" t="n">
        <f aca="false">AB185</f>
        <v>26742.1647995103</v>
      </c>
      <c r="E185" s="65" t="n">
        <f aca="false">Account_Register!$L$15+E164-E143</f>
        <v>0</v>
      </c>
      <c r="F185" s="73" t="n">
        <f aca="false">E185+F164-F143</f>
        <v>32699.41</v>
      </c>
      <c r="G185" s="73" t="n">
        <f aca="false">F185+G164-G143</f>
        <v>19159</v>
      </c>
      <c r="H185" s="73" t="n">
        <f aca="false">G185+H164-H143</f>
        <v>4771.56</v>
      </c>
      <c r="I185" s="73" t="n">
        <f aca="false">H185+I164-I143</f>
        <v>38171.73</v>
      </c>
      <c r="J185" s="73" t="n">
        <f aca="false">I185+J164-J143</f>
        <v>24170.28</v>
      </c>
      <c r="K185" s="73" t="n">
        <f aca="false">J185+K164-K143</f>
        <v>8956.04</v>
      </c>
      <c r="L185" s="73" t="n">
        <f aca="false">K185+L164-L143</f>
        <v>43253.1</v>
      </c>
      <c r="M185" s="73" t="n">
        <f aca="false">L185+M164-M143</f>
        <v>29786.1012</v>
      </c>
      <c r="N185" s="73" t="n">
        <f aca="false">M185+N164-N143</f>
        <v>16049.762424</v>
      </c>
      <c r="O185" s="73" t="n">
        <f aca="false">N185+O164-O143</f>
        <v>49538.69687248</v>
      </c>
      <c r="P185" s="73" t="n">
        <f aca="false">O185+P164-P143</f>
        <v>35247.4100099296</v>
      </c>
      <c r="Q185" s="73" t="n">
        <f aca="false">P185+Q164-Q143</f>
        <v>0</v>
      </c>
      <c r="R185" s="73" t="n">
        <f aca="false">Q185+R164-R143</f>
        <v>34620.8375363464</v>
      </c>
      <c r="S185" s="73" t="n">
        <f aca="false">R185+S164-S143</f>
        <v>20668.0918234196</v>
      </c>
      <c r="T185" s="73" t="n">
        <f aca="false">S185+T164-T143</f>
        <v>6436.29119623438</v>
      </c>
      <c r="U185" s="73" t="n">
        <f aca="false">T185+U164-U143</f>
        <v>40219.8545565054</v>
      </c>
      <c r="V185" s="73" t="n">
        <f aca="false">U185+V164-V143</f>
        <v>25413.0891839819</v>
      </c>
      <c r="W185" s="73" t="n">
        <f aca="false">V185+W164-W143</f>
        <v>10310.1885040079</v>
      </c>
      <c r="X185" s="73" t="n">
        <f aca="false">W185+X164-X143</f>
        <v>43205.2298104344</v>
      </c>
      <c r="Y185" s="73" t="n">
        <f aca="false">X185+Y164-Y143</f>
        <v>27492.1719429894</v>
      </c>
      <c r="Z185" s="73" t="n">
        <f aca="false">Y185+Z164-Z143</f>
        <v>11464.8529181956</v>
      </c>
      <c r="AA185" s="73" t="n">
        <f aca="false">Z185+AA164-AA143</f>
        <v>43416.9875129058</v>
      </c>
      <c r="AB185" s="73" t="n">
        <f aca="false">AA185+AB164-AB143</f>
        <v>26742.1647995103</v>
      </c>
    </row>
    <row r="186" customFormat="false" ht="15" hidden="false" customHeight="false" outlineLevel="0" collapsed="false">
      <c r="A186" s="28" t="s">
        <v>923</v>
      </c>
      <c r="B186" s="62" t="s">
        <v>941</v>
      </c>
      <c r="C186" s="64" t="n">
        <f aca="false">P186</f>
        <v>-33820.7434958363</v>
      </c>
      <c r="D186" s="64" t="n">
        <f aca="false">AB186</f>
        <v>-46752.8949371481</v>
      </c>
      <c r="E186" s="65" t="n">
        <f aca="false">Account_Register!$L$16+E165-E144</f>
        <v>46126.28</v>
      </c>
      <c r="F186" s="73" t="n">
        <f aca="false">E186+F165-F144</f>
        <v>30296.39</v>
      </c>
      <c r="G186" s="73" t="n">
        <f aca="false">F186+G165-G144</f>
        <v>0</v>
      </c>
      <c r="H186" s="73" t="n">
        <f aca="false">G186+H165-H144</f>
        <v>24645.54</v>
      </c>
      <c r="I186" s="73" t="n">
        <f aca="false">H186+I165-I144</f>
        <v>8614.44</v>
      </c>
      <c r="J186" s="73" t="n">
        <f aca="false">I186+J165-J144</f>
        <v>-7328.07</v>
      </c>
      <c r="K186" s="73" t="n">
        <f aca="false">J186+K165-K144</f>
        <v>18108.84</v>
      </c>
      <c r="L186" s="73" t="n">
        <f aca="false">K186+L165-L144</f>
        <v>-0.349999999998545</v>
      </c>
      <c r="M186" s="73" t="n">
        <f aca="false">L186+M165-M144</f>
        <v>-18489.83299</v>
      </c>
      <c r="N186" s="73" t="n">
        <f aca="false">M186+N165-N144</f>
        <v>5132.40487721001</v>
      </c>
      <c r="O186" s="73" t="n">
        <f aca="false">N186+O165-O144</f>
        <v>-14141.7902603686</v>
      </c>
      <c r="P186" s="73" t="n">
        <f aca="false">O186+P165-P144</f>
        <v>-33820.7434958363</v>
      </c>
      <c r="Q186" s="73" t="n">
        <f aca="false">P186+Q165-Q144</f>
        <v>0</v>
      </c>
      <c r="R186" s="73" t="n">
        <f aca="false">Q186+R165-R144</f>
        <v>0</v>
      </c>
      <c r="S186" s="73" t="n">
        <f aca="false">R186+S165-S144</f>
        <v>0</v>
      </c>
      <c r="T186" s="73" t="n">
        <f aca="false">S186+T165-T144</f>
        <v>28003.6902313492</v>
      </c>
      <c r="U186" s="73" t="n">
        <f aca="false">T186+U165-U144</f>
        <v>8353.20795755674</v>
      </c>
      <c r="V186" s="73" t="n">
        <f aca="false">U186+V165-V144</f>
        <v>-11709.9344439854</v>
      </c>
      <c r="W186" s="73" t="n">
        <f aca="false">V186+W165-W144</f>
        <v>15055.5971640402</v>
      </c>
      <c r="X186" s="73" t="n">
        <f aca="false">W186+X165-X144</f>
        <v>-5859.0450641658</v>
      </c>
      <c r="Y186" s="73" t="n">
        <f aca="false">X186+Y165-Y144</f>
        <v>-27212.8947791641</v>
      </c>
      <c r="Z186" s="73" t="n">
        <f aca="false">Y186+Z165-Z144</f>
        <v>-1765.1753381773</v>
      </c>
      <c r="AA186" s="73" t="n">
        <f aca="false">Z186+AA165-AA144</f>
        <v>-24025.3037889298</v>
      </c>
      <c r="AB186" s="73" t="n">
        <f aca="false">AA186+AB165-AB144</f>
        <v>-46752.8949371481</v>
      </c>
    </row>
    <row r="187" customFormat="false" ht="15" hidden="false" customHeight="false" outlineLevel="0" collapsed="false">
      <c r="A187" s="28" t="s">
        <v>924</v>
      </c>
      <c r="B187" s="62" t="s">
        <v>941</v>
      </c>
      <c r="C187" s="64" t="n">
        <f aca="false">P187</f>
        <v>14600.3352913232</v>
      </c>
      <c r="D187" s="64" t="n">
        <f aca="false">AB187</f>
        <v>-3346.70907080841</v>
      </c>
      <c r="E187" s="65" t="n">
        <f aca="false">Account_Register!$L$17+E166-E145</f>
        <v>30499.46</v>
      </c>
      <c r="F187" s="73" t="n">
        <f aca="false">E187+F166-F145</f>
        <v>22239.26</v>
      </c>
      <c r="G187" s="73" t="n">
        <f aca="false">F187+G166-G145</f>
        <v>44127.75</v>
      </c>
      <c r="H187" s="73" t="n">
        <f aca="false">G187+H166-H145</f>
        <v>35578.35</v>
      </c>
      <c r="I187" s="73" t="n">
        <f aca="false">H187+I166-I145</f>
        <v>0</v>
      </c>
      <c r="J187" s="73" t="n">
        <f aca="false">I187+J166-J145</f>
        <v>22502.33</v>
      </c>
      <c r="K187" s="73" t="n">
        <f aca="false">J187+K166-K145</f>
        <v>12031.8</v>
      </c>
      <c r="L187" s="73" t="n">
        <f aca="false">K187+L166-L145</f>
        <v>35.0700000000015</v>
      </c>
      <c r="M187" s="73" t="n">
        <f aca="false">L187+M166-M145</f>
        <v>20298.4054</v>
      </c>
      <c r="N187" s="73" t="n">
        <f aca="false">M187+N166-N145</f>
        <v>7817.007508</v>
      </c>
      <c r="O187" s="73" t="n">
        <f aca="false">N187+O166-O145</f>
        <v>-4914.01834184</v>
      </c>
      <c r="P187" s="73" t="n">
        <f aca="false">O187+P166-P145</f>
        <v>14600.3352913232</v>
      </c>
      <c r="Q187" s="73" t="n">
        <f aca="false">P187+Q166-Q145</f>
        <v>1354.97599714966</v>
      </c>
      <c r="R187" s="73" t="n">
        <f aca="false">Q187+R166-R145</f>
        <v>-12155.2904829074</v>
      </c>
      <c r="S187" s="73" t="n">
        <f aca="false">R187+S166-S145</f>
        <v>6564.2377074345</v>
      </c>
      <c r="T187" s="73" t="n">
        <f aca="false">S187+T166-T145</f>
        <v>0</v>
      </c>
      <c r="U187" s="73" t="n">
        <f aca="false">T187+U166-U145</f>
        <v>0</v>
      </c>
      <c r="V187" s="73" t="n">
        <f aca="false">U187+V166-V145</f>
        <v>18338.4477646347</v>
      </c>
      <c r="W187" s="73" t="n">
        <f aca="false">V187+W166-W145</f>
        <v>4913.66448456203</v>
      </c>
      <c r="X187" s="73" t="n">
        <f aca="false">W187+X166-X145</f>
        <v>-8779.61446111206</v>
      </c>
      <c r="Y187" s="73" t="n">
        <f aca="false">X187+Y166-Y145</f>
        <v>8753.24101430036</v>
      </c>
      <c r="Z187" s="73" t="n">
        <f aca="false">Y187+Z166-Z145</f>
        <v>-5493.24640077896</v>
      </c>
      <c r="AA187" s="73" t="n">
        <f aca="false">Z187+AA166-AA145</f>
        <v>-20024.6635641599</v>
      </c>
      <c r="AB187" s="73" t="n">
        <f aca="false">AA187+AB166-AB145</f>
        <v>-3346.70907080841</v>
      </c>
    </row>
    <row r="188" customFormat="false" ht="15" hidden="false" customHeight="false" outlineLevel="0" collapsed="false">
      <c r="A188" s="28" t="s">
        <v>925</v>
      </c>
      <c r="B188" s="62" t="s">
        <v>941</v>
      </c>
      <c r="C188" s="64" t="n">
        <f aca="false">P188</f>
        <v>14892.3430359882</v>
      </c>
      <c r="D188" s="64" t="n">
        <f aca="false">AB188</f>
        <v>4194.87565618642</v>
      </c>
      <c r="E188" s="65" t="n">
        <f aca="false">Account_Register!$L$18+E167-E146</f>
        <v>19697.47</v>
      </c>
      <c r="F188" s="73" t="n">
        <f aca="false">E188+F167-F146</f>
        <v>44587.69</v>
      </c>
      <c r="G188" s="73" t="n">
        <f aca="false">F188+G167-G146</f>
        <v>33465.36</v>
      </c>
      <c r="H188" s="73" t="n">
        <f aca="false">G188+H167-H146</f>
        <v>21887.85</v>
      </c>
      <c r="I188" s="73" t="n">
        <f aca="false">H188+I167-I146</f>
        <v>46250.3</v>
      </c>
      <c r="J188" s="73" t="n">
        <f aca="false">I188+J167-J146</f>
        <v>33928.66</v>
      </c>
      <c r="K188" s="73" t="n">
        <f aca="false">J188+K167-K146</f>
        <v>0</v>
      </c>
      <c r="L188" s="73" t="n">
        <f aca="false">K188+L167-L146</f>
        <v>25926.69</v>
      </c>
      <c r="M188" s="73" t="n">
        <f aca="false">L188+M167-M146</f>
        <v>14133.48711</v>
      </c>
      <c r="N188" s="73" t="n">
        <f aca="false">M188+N167-N146</f>
        <v>2116.21336509001</v>
      </c>
      <c r="O188" s="73" t="n">
        <f aca="false">N188+O167-O146</f>
        <v>27370.6114190267</v>
      </c>
      <c r="P188" s="73" t="n">
        <f aca="false">O188+P167-P146</f>
        <v>14892.3430359882</v>
      </c>
      <c r="Q188" s="73" t="n">
        <f aca="false">P188+Q167-Q146</f>
        <v>2176.98755367202</v>
      </c>
      <c r="R188" s="73" t="n">
        <f aca="false">Q188+R167-R146</f>
        <v>26720.0403171918</v>
      </c>
      <c r="S188" s="73" t="n">
        <f aca="false">R188+S167-S146</f>
        <v>13516.9110832185</v>
      </c>
      <c r="T188" s="73" t="n">
        <f aca="false">S188+T167-T146</f>
        <v>62.9223937996121</v>
      </c>
      <c r="U188" s="73" t="n">
        <f aca="false">T188+U167-U146</f>
        <v>23853.3079192818</v>
      </c>
      <c r="V188" s="73" t="n">
        <f aca="false">U188+V167-V146</f>
        <v>9883.21076974819</v>
      </c>
      <c r="W188" s="73" t="n">
        <f aca="false">V188+W167-W146</f>
        <v>0</v>
      </c>
      <c r="X188" s="73" t="n">
        <f aca="false">W188+X167-X146</f>
        <v>22944.5963583418</v>
      </c>
      <c r="Y188" s="73" t="n">
        <f aca="false">X188+Y167-Y146</f>
        <v>9641.14004749209</v>
      </c>
      <c r="Z188" s="73" t="n">
        <f aca="false">Y188+Z167-Z146</f>
        <v>-3915.08193326375</v>
      </c>
      <c r="AA188" s="73" t="n">
        <f aca="false">Z188+AA167-AA146</f>
        <v>18271.127868346</v>
      </c>
      <c r="AB188" s="73" t="n">
        <f aca="false">AA188+AB167-AB146</f>
        <v>4194.87565618642</v>
      </c>
    </row>
    <row r="189" customFormat="false" ht="15" hidden="false" customHeight="false" outlineLevel="0" collapsed="false">
      <c r="A189" s="28" t="s">
        <v>926</v>
      </c>
      <c r="B189" s="62" t="s">
        <v>941</v>
      </c>
      <c r="C189" s="64" t="n">
        <f aca="false">P189</f>
        <v>6059.27285625793</v>
      </c>
      <c r="D189" s="64" t="n">
        <f aca="false">AB189</f>
        <v>79.1510545937854</v>
      </c>
      <c r="E189" s="65" t="n">
        <f aca="false">Account_Register!$L$19+E168-E147</f>
        <v>39685.17</v>
      </c>
      <c r="F189" s="73" t="n">
        <f aca="false">E189+F168-F147</f>
        <v>30851.16</v>
      </c>
      <c r="G189" s="73" t="n">
        <f aca="false">F189+G168-G147</f>
        <v>20561.1</v>
      </c>
      <c r="H189" s="73" t="n">
        <f aca="false">G189+H168-H147</f>
        <v>48286.89</v>
      </c>
      <c r="I189" s="73" t="n">
        <f aca="false">H189+I168-I147</f>
        <v>38815.65</v>
      </c>
      <c r="J189" s="73" t="n">
        <f aca="false">I189+J168-J147</f>
        <v>28844.55</v>
      </c>
      <c r="K189" s="73" t="n">
        <f aca="false">J189+K168-K147</f>
        <v>55919.56</v>
      </c>
      <c r="L189" s="73" t="n">
        <f aca="false">K189+L168-L147</f>
        <v>45487.17</v>
      </c>
      <c r="M189" s="73" t="n">
        <f aca="false">L189+M168-M147</f>
        <v>0</v>
      </c>
      <c r="N189" s="73" t="n">
        <f aca="false">M189+N168-N147</f>
        <v>26775.2527181808</v>
      </c>
      <c r="O189" s="73" t="n">
        <f aca="false">N189+O168-O147</f>
        <v>16529.9609961616</v>
      </c>
      <c r="P189" s="73" t="n">
        <f aca="false">O189+P168-P147</f>
        <v>6059.27285625793</v>
      </c>
      <c r="Q189" s="73" t="n">
        <f aca="false">P189+Q168-Q147</f>
        <v>32158.2295772764</v>
      </c>
      <c r="R189" s="73" t="n">
        <f aca="false">Q189+R168-R147</f>
        <v>21221.7633461573</v>
      </c>
      <c r="S189" s="73" t="n">
        <f aca="false">R189+S168-S147</f>
        <v>10044.6948579535</v>
      </c>
      <c r="T189" s="73" t="n">
        <f aca="false">S189+T168-T147</f>
        <v>35421.7308630093</v>
      </c>
      <c r="U189" s="73" t="n">
        <f aca="false">T189+U168-U147</f>
        <v>23747.4616601763</v>
      </c>
      <c r="V189" s="73" t="n">
        <f aca="false">U189+V168-V147</f>
        <v>11816.358534881</v>
      </c>
      <c r="W189" s="73" t="n">
        <f aca="false">V189+W168-W147</f>
        <v>36422.7711408292</v>
      </c>
      <c r="X189" s="73" t="n">
        <f aca="false">W189+X168-X147</f>
        <v>23960.9248241082</v>
      </c>
      <c r="Y189" s="73" t="n">
        <f aca="false">X189+Y168-Y147</f>
        <v>0</v>
      </c>
      <c r="Z189" s="73" t="n">
        <f aca="false">Y189+Z168-Z147</f>
        <v>24825.0968387879</v>
      </c>
      <c r="AA189" s="73" t="n">
        <f aca="false">Z189+AA168-AA147</f>
        <v>12586.7458080292</v>
      </c>
      <c r="AB189" s="73" t="n">
        <f aca="false">AA189+AB168-AB147</f>
        <v>79.1510545937854</v>
      </c>
    </row>
    <row r="190" customFormat="false" ht="15" hidden="false" customHeight="false" outlineLevel="0" collapsed="false">
      <c r="A190" s="28" t="s">
        <v>927</v>
      </c>
      <c r="B190" s="62" t="s">
        <v>941</v>
      </c>
      <c r="C190" s="64" t="n">
        <f aca="false">P190</f>
        <v>66115.2887288075</v>
      </c>
      <c r="D190" s="64" t="n">
        <f aca="false">AB190</f>
        <v>29755.924448494</v>
      </c>
      <c r="E190" s="73" t="n">
        <f aca="false">0+E169-E148</f>
        <v>0</v>
      </c>
      <c r="F190" s="73" t="n">
        <f aca="false">E190+F169-F148</f>
        <v>0</v>
      </c>
      <c r="G190" s="73" t="n">
        <f aca="false">F190+G169-G148</f>
        <v>0</v>
      </c>
      <c r="H190" s="73" t="n">
        <f aca="false">G190+H169-H148</f>
        <v>49000</v>
      </c>
      <c r="I190" s="73" t="n">
        <f aca="false">H190+I169-I148</f>
        <v>37203.67</v>
      </c>
      <c r="J190" s="73" t="n">
        <f aca="false">I190+J169-J148</f>
        <v>24504.68</v>
      </c>
      <c r="K190" s="73" t="n">
        <f aca="false">J190+K169-K148</f>
        <v>73090.79</v>
      </c>
      <c r="L190" s="73" t="n">
        <f aca="false">K190+L169-L148</f>
        <v>60579.17</v>
      </c>
      <c r="M190" s="73" t="n">
        <f aca="false">L190+M169-M148</f>
        <v>47560.82939</v>
      </c>
      <c r="N190" s="73" t="n">
        <f aca="false">M190+N169-N148</f>
        <v>94151.9385617</v>
      </c>
      <c r="O190" s="73" t="n">
        <f aca="false">N190+O169-O148</f>
        <v>80340.781008551</v>
      </c>
      <c r="P190" s="73" t="n">
        <f aca="false">O190+P169-P148</f>
        <v>66115.2887288075</v>
      </c>
      <c r="Q190" s="73" t="n">
        <f aca="false">P190+Q169-Q148</f>
        <v>111463.031680672</v>
      </c>
      <c r="R190" s="73" t="n">
        <f aca="false">Q190+R169-R148</f>
        <v>96371.2069210919</v>
      </c>
      <c r="S190" s="73" t="n">
        <f aca="false">R190+S169-S148</f>
        <v>0</v>
      </c>
      <c r="T190" s="73" t="n">
        <f aca="false">S190+T169-T148</f>
        <v>45069.9564635568</v>
      </c>
      <c r="U190" s="73" t="n">
        <f aca="false">T190+U169-U148</f>
        <v>29898.0116210203</v>
      </c>
      <c r="V190" s="73" t="n">
        <f aca="false">U190+V169-V148</f>
        <v>14270.9084332077</v>
      </c>
      <c r="W190" s="73" t="n">
        <f aca="false">V190+W169-W148</f>
        <v>57974.9921497607</v>
      </c>
      <c r="X190" s="73" t="n">
        <f aca="false">W190+X169-X148</f>
        <v>41396.1983778104</v>
      </c>
      <c r="Y190" s="73" t="n">
        <f aca="false">X190+Y169-Y148</f>
        <v>24320.0407927015</v>
      </c>
      <c r="Z190" s="73" t="n">
        <f aca="false">Y190+Z169-Z148</f>
        <v>66531.5984800393</v>
      </c>
      <c r="AA190" s="73" t="n">
        <f aca="false">Z190+AA169-AA148</f>
        <v>48415.5028979973</v>
      </c>
      <c r="AB190" s="73" t="n">
        <f aca="false">AA190+AB169-AB148</f>
        <v>29755.924448494</v>
      </c>
    </row>
    <row r="191" customFormat="false" ht="15" hidden="false" customHeight="false" outlineLevel="0" collapsed="false">
      <c r="A191" s="28" t="s">
        <v>928</v>
      </c>
      <c r="B191" s="62" t="s">
        <v>941</v>
      </c>
      <c r="C191" s="64" t="n">
        <f aca="false">P191</f>
        <v>50295.1821555759</v>
      </c>
      <c r="D191" s="64" t="n">
        <f aca="false">AB191</f>
        <v>11593.335865954</v>
      </c>
      <c r="E191" s="73" t="n">
        <f aca="false">0+E170-E149</f>
        <v>0</v>
      </c>
      <c r="F191" s="73" t="n">
        <f aca="false">E191+F170-F149</f>
        <v>0</v>
      </c>
      <c r="G191" s="73" t="n">
        <f aca="false">F191+G170-G149</f>
        <v>0</v>
      </c>
      <c r="H191" s="73" t="n">
        <f aca="false">G191+H170-H149</f>
        <v>0</v>
      </c>
      <c r="I191" s="73" t="n">
        <f aca="false">H191+I170-I149</f>
        <v>0</v>
      </c>
      <c r="J191" s="73" t="n">
        <f aca="false">I191+J170-J149</f>
        <v>0</v>
      </c>
      <c r="K191" s="73" t="n">
        <f aca="false">J191+K170-K149</f>
        <v>61000</v>
      </c>
      <c r="L191" s="73" t="n">
        <f aca="false">K191+L170-L149</f>
        <v>45192.37</v>
      </c>
      <c r="M191" s="73" t="n">
        <f aca="false">L191+M170-M149</f>
        <v>28744.530985</v>
      </c>
      <c r="N191" s="73" t="n">
        <f aca="false">M191+N170-N149</f>
        <v>86630.5544898925</v>
      </c>
      <c r="O191" s="73" t="n">
        <f aca="false">N191+O170-O149</f>
        <v>68823.4619467332</v>
      </c>
      <c r="P191" s="73" t="n">
        <f aca="false">O191+P170-P149</f>
        <v>50295.1821555759</v>
      </c>
      <c r="Q191" s="73" t="n">
        <f aca="false">P191+Q170-Q149</f>
        <v>106211.053970684</v>
      </c>
      <c r="R191" s="73" t="n">
        <f aca="false">Q191+R170-R149</f>
        <v>86554.4019402451</v>
      </c>
      <c r="S191" s="73" t="n">
        <f aca="false">R191+S170-S149</f>
        <v>66308.0503488931</v>
      </c>
      <c r="T191" s="73" t="n">
        <f aca="false">S191+T170-T149</f>
        <v>120454.308209801</v>
      </c>
      <c r="U191" s="73" t="n">
        <f aca="false">T191+U170-U149</f>
        <v>98974.9538065353</v>
      </c>
      <c r="V191" s="73" t="n">
        <f aca="false">U191+V170-V149</f>
        <v>0</v>
      </c>
      <c r="W191" s="73" t="n">
        <f aca="false">V191+W170-W149</f>
        <v>52635.5486804898</v>
      </c>
      <c r="X191" s="73" t="n">
        <f aca="false">W191+X170-X149</f>
        <v>31042.1638213943</v>
      </c>
      <c r="Y191" s="73" t="n">
        <f aca="false">X191+Y170-Y149</f>
        <v>8800.97741652588</v>
      </c>
      <c r="Z191" s="73" t="n">
        <f aca="false">Y191+Z170-Z149</f>
        <v>59492.5554195115</v>
      </c>
      <c r="AA191" s="73" t="n">
        <f aca="false">Z191+AA170-AA149</f>
        <v>35896.8807625866</v>
      </c>
      <c r="AB191" s="73" t="n">
        <f aca="false">AA191+AB170-AB149</f>
        <v>11593.335865954</v>
      </c>
    </row>
    <row r="192" customFormat="false" ht="15" hidden="false" customHeight="false" outlineLevel="0" collapsed="false">
      <c r="A192" s="28" t="s">
        <v>929</v>
      </c>
      <c r="B192" s="62" t="s">
        <v>941</v>
      </c>
      <c r="C192" s="64" t="n">
        <f aca="false">P192</f>
        <v>31319.145</v>
      </c>
      <c r="D192" s="64" t="n">
        <f aca="false">AB192</f>
        <v>23340.6905826106</v>
      </c>
      <c r="E192" s="73" t="n">
        <f aca="false">0+E171-E150</f>
        <v>0</v>
      </c>
      <c r="F192" s="73" t="n">
        <f aca="false">E192+F171-F150</f>
        <v>0</v>
      </c>
      <c r="G192" s="73" t="n">
        <f aca="false">F192+G171-G150</f>
        <v>0</v>
      </c>
      <c r="H192" s="73" t="n">
        <f aca="false">G192+H171-H150</f>
        <v>0</v>
      </c>
      <c r="I192" s="73" t="n">
        <f aca="false">H192+I171-I150</f>
        <v>0</v>
      </c>
      <c r="J192" s="73" t="n">
        <f aca="false">I192+J171-J150</f>
        <v>0</v>
      </c>
      <c r="K192" s="73" t="n">
        <f aca="false">J192+K171-K150</f>
        <v>0</v>
      </c>
      <c r="L192" s="73" t="n">
        <f aca="false">K192+L171-L150</f>
        <v>0</v>
      </c>
      <c r="M192" s="73" t="n">
        <f aca="false">L192+M171-M150</f>
        <v>0</v>
      </c>
      <c r="N192" s="73" t="n">
        <f aca="false">M192+N171-N150</f>
        <v>0</v>
      </c>
      <c r="O192" s="73" t="n">
        <f aca="false">N192+O171-O150</f>
        <v>40590</v>
      </c>
      <c r="P192" s="73" t="n">
        <f aca="false">O192+P171-P150</f>
        <v>31319.145</v>
      </c>
      <c r="Q192" s="73" t="n">
        <f aca="false">P192+Q171-Q150</f>
        <v>21672.8203725</v>
      </c>
      <c r="R192" s="73" t="n">
        <f aca="false">Q192+R171-R150</f>
        <v>61135.8195975863</v>
      </c>
      <c r="S192" s="73" t="n">
        <f aca="false">R192+S171-S150</f>
        <v>50692.3202912885</v>
      </c>
      <c r="T192" s="73" t="n">
        <f aca="false">S192+T171-T150</f>
        <v>39825.8592630857</v>
      </c>
      <c r="U192" s="73" t="n">
        <f aca="false">T192+U171-U150</f>
        <v>78133.4044040368</v>
      </c>
      <c r="V192" s="73" t="n">
        <f aca="false">U192+V171-V150</f>
        <v>66605.1758992164</v>
      </c>
      <c r="W192" s="73" t="n">
        <f aca="false">V192+W171-W150</f>
        <v>54731.1005392515</v>
      </c>
      <c r="X192" s="73" t="n">
        <f aca="false">W192+X171-X150</f>
        <v>92000.8029184875</v>
      </c>
      <c r="Y192" s="73" t="n">
        <f aca="false">X192+Y171-Y150</f>
        <v>79403.5963691007</v>
      </c>
      <c r="Z192" s="73" t="n">
        <f aca="false">Y192+Z171-Z150</f>
        <v>0</v>
      </c>
      <c r="AA192" s="73" t="n">
        <f aca="false">Z192+AA171-AA150</f>
        <v>36004.7736860151</v>
      </c>
      <c r="AB192" s="73" t="n">
        <f aca="false">AA192+AB171-AB150</f>
        <v>23340.6905826106</v>
      </c>
    </row>
    <row r="193" customFormat="false" ht="15" hidden="false" customHeight="false" outlineLevel="0" collapsed="false">
      <c r="A193" s="28" t="s">
        <v>930</v>
      </c>
      <c r="B193" s="62" t="s">
        <v>941</v>
      </c>
      <c r="C193" s="64" t="n">
        <f aca="false">P193</f>
        <v>24600</v>
      </c>
      <c r="D193" s="64" t="n">
        <f aca="false">AB193</f>
        <v>22448.347688494</v>
      </c>
      <c r="E193" s="73" t="n">
        <f aca="false">0+E172-E151</f>
        <v>0</v>
      </c>
      <c r="F193" s="73" t="n">
        <f aca="false">E193+F172-F151</f>
        <v>0</v>
      </c>
      <c r="G193" s="73" t="n">
        <f aca="false">F193+G172-G151</f>
        <v>0</v>
      </c>
      <c r="H193" s="73" t="n">
        <f aca="false">G193+H172-H151</f>
        <v>0</v>
      </c>
      <c r="I193" s="73" t="n">
        <f aca="false">H193+I172-I151</f>
        <v>0</v>
      </c>
      <c r="J193" s="73" t="n">
        <f aca="false">I193+J172-J151</f>
        <v>0</v>
      </c>
      <c r="K193" s="73" t="n">
        <f aca="false">J193+K172-K151</f>
        <v>0</v>
      </c>
      <c r="L193" s="73" t="n">
        <f aca="false">K193+L172-L151</f>
        <v>0</v>
      </c>
      <c r="M193" s="73" t="n">
        <f aca="false">L193+M172-M151</f>
        <v>0</v>
      </c>
      <c r="N193" s="73" t="n">
        <f aca="false">M193+N172-N151</f>
        <v>0</v>
      </c>
      <c r="O193" s="73" t="n">
        <f aca="false">N193+O172-O151</f>
        <v>0</v>
      </c>
      <c r="P193" s="73" t="n">
        <f aca="false">O193+P172-P151</f>
        <v>24600</v>
      </c>
      <c r="Q193" s="73" t="n">
        <f aca="false">P193+Q172-Q151</f>
        <v>18981.3</v>
      </c>
      <c r="R193" s="73" t="n">
        <f aca="false">Q193+R172-R151</f>
        <v>13135.04265</v>
      </c>
      <c r="S193" s="73" t="n">
        <f aca="false">R193+S172-S151</f>
        <v>37052.011877325</v>
      </c>
      <c r="T193" s="73" t="n">
        <f aca="false">S193+T172-T151</f>
        <v>30722.6183583567</v>
      </c>
      <c r="U193" s="73" t="n">
        <f aca="false">T193+U172-U151</f>
        <v>24136.8844018701</v>
      </c>
      <c r="V193" s="73" t="n">
        <f aca="false">U193+V172-V151</f>
        <v>47353.578426689</v>
      </c>
      <c r="W193" s="73" t="n">
        <f aca="false">V193+W172-W151</f>
        <v>40366.7732722524</v>
      </c>
      <c r="X193" s="73" t="n">
        <f aca="false">W193+X172-X151</f>
        <v>33170.3639631827</v>
      </c>
      <c r="Y193" s="73" t="n">
        <f aca="false">X193+Y172-Y151</f>
        <v>55758.0623748409</v>
      </c>
      <c r="Z193" s="73" t="n">
        <f aca="false">Y193+Z172-Z151</f>
        <v>48123.3917388489</v>
      </c>
      <c r="AA193" s="73" t="n">
        <f aca="false">Z193+AA172-AA151</f>
        <v>0</v>
      </c>
      <c r="AB193" s="73" t="n">
        <f aca="false">AA193+AB172-AB151</f>
        <v>22448.347688494</v>
      </c>
    </row>
    <row r="194" customFormat="false" ht="15" hidden="false" customHeight="false" outlineLevel="0" collapsed="false">
      <c r="A194" s="28" t="s">
        <v>931</v>
      </c>
      <c r="B194" s="62" t="s">
        <v>941</v>
      </c>
      <c r="C194" s="64" t="n">
        <f aca="false">P194</f>
        <v>0</v>
      </c>
      <c r="D194" s="64" t="n">
        <f aca="false">AB194</f>
        <v>67372.7484343884</v>
      </c>
      <c r="E194" s="73" t="n">
        <f aca="false">0+E173-E152</f>
        <v>0</v>
      </c>
      <c r="F194" s="73" t="n">
        <f aca="false">E194+F173-F152</f>
        <v>0</v>
      </c>
      <c r="G194" s="73" t="n">
        <f aca="false">F194+G173-G152</f>
        <v>0</v>
      </c>
      <c r="H194" s="73" t="n">
        <f aca="false">G194+H173-H152</f>
        <v>0</v>
      </c>
      <c r="I194" s="73" t="n">
        <f aca="false">H194+I173-I152</f>
        <v>0</v>
      </c>
      <c r="J194" s="73" t="n">
        <f aca="false">I194+J173-J152</f>
        <v>0</v>
      </c>
      <c r="K194" s="73" t="n">
        <f aca="false">J194+K173-K152</f>
        <v>0</v>
      </c>
      <c r="L194" s="73" t="n">
        <f aca="false">K194+L173-L152</f>
        <v>0</v>
      </c>
      <c r="M194" s="73" t="n">
        <f aca="false">L194+M173-M152</f>
        <v>0</v>
      </c>
      <c r="N194" s="73" t="n">
        <f aca="false">M194+N173-N152</f>
        <v>0</v>
      </c>
      <c r="O194" s="73" t="n">
        <f aca="false">N194+O173-O152</f>
        <v>0</v>
      </c>
      <c r="P194" s="73" t="n">
        <f aca="false">O194+P173-P152</f>
        <v>0</v>
      </c>
      <c r="Q194" s="73" t="n">
        <f aca="false">P194+Q173-Q152</f>
        <v>0</v>
      </c>
      <c r="R194" s="73" t="n">
        <f aca="false">Q194+R173-R152</f>
        <v>34440</v>
      </c>
      <c r="S194" s="73" t="n">
        <f aca="false">R194+S173-S152</f>
        <v>26573.82</v>
      </c>
      <c r="T194" s="73" t="n">
        <f aca="false">S194+T173-T152</f>
        <v>18389.05971</v>
      </c>
      <c r="U194" s="73" t="n">
        <f aca="false">T194+U173-U152</f>
        <v>51872.816628255</v>
      </c>
      <c r="V194" s="73" t="n">
        <f aca="false">U194+V173-V152</f>
        <v>43011.6657016993</v>
      </c>
      <c r="W194" s="73" t="n">
        <f aca="false">V194+W173-W152</f>
        <v>33791.6381626182</v>
      </c>
      <c r="X194" s="73" t="n">
        <f aca="false">W194+X173-X152</f>
        <v>66295.0097973646</v>
      </c>
      <c r="Y194" s="73" t="n">
        <f aca="false">X194+Y173-Y152</f>
        <v>56513.4825811533</v>
      </c>
      <c r="Z194" s="73" t="n">
        <f aca="false">Y194+Z173-Z152</f>
        <v>46438.5095484558</v>
      </c>
      <c r="AA194" s="73" t="n">
        <f aca="false">Z194+AA173-AA152</f>
        <v>78061.2873247773</v>
      </c>
      <c r="AB194" s="73" t="n">
        <f aca="false">AA194+AB173-AB152</f>
        <v>67372.7484343884</v>
      </c>
    </row>
    <row r="195" customFormat="false" ht="15" hidden="false" customHeight="false" outlineLevel="0" collapsed="false">
      <c r="A195" s="28" t="s">
        <v>932</v>
      </c>
      <c r="B195" s="62" t="s">
        <v>941</v>
      </c>
      <c r="C195" s="64" t="n">
        <f aca="false">P195</f>
        <v>0</v>
      </c>
      <c r="D195" s="64" t="n">
        <f aca="false">AB195</f>
        <v>41818.5467811307</v>
      </c>
      <c r="E195" s="73" t="n">
        <f aca="false">0+E174-E153</f>
        <v>0</v>
      </c>
      <c r="F195" s="73" t="n">
        <f aca="false">E195+F174-F153</f>
        <v>0</v>
      </c>
      <c r="G195" s="73" t="n">
        <f aca="false">F195+G174-G153</f>
        <v>0</v>
      </c>
      <c r="H195" s="73" t="n">
        <f aca="false">G195+H174-H153</f>
        <v>0</v>
      </c>
      <c r="I195" s="73" t="n">
        <f aca="false">H195+I174-I153</f>
        <v>0</v>
      </c>
      <c r="J195" s="73" t="n">
        <f aca="false">I195+J174-J153</f>
        <v>0</v>
      </c>
      <c r="K195" s="73" t="n">
        <f aca="false">J195+K174-K153</f>
        <v>0</v>
      </c>
      <c r="L195" s="73" t="n">
        <f aca="false">K195+L174-L153</f>
        <v>0</v>
      </c>
      <c r="M195" s="73" t="n">
        <f aca="false">L195+M174-M153</f>
        <v>0</v>
      </c>
      <c r="N195" s="73" t="n">
        <f aca="false">M195+N174-N153</f>
        <v>0</v>
      </c>
      <c r="O195" s="73" t="n">
        <f aca="false">N195+O174-O153</f>
        <v>0</v>
      </c>
      <c r="P195" s="73" t="n">
        <f aca="false">O195+P174-P153</f>
        <v>0</v>
      </c>
      <c r="Q195" s="73" t="n">
        <f aca="false">P195+Q174-Q153</f>
        <v>0</v>
      </c>
      <c r="R195" s="73" t="n">
        <f aca="false">Q195+R174-R153</f>
        <v>0</v>
      </c>
      <c r="S195" s="73" t="n">
        <f aca="false">R195+S174-S153</f>
        <v>18450</v>
      </c>
      <c r="T195" s="73" t="n">
        <f aca="false">S195+T174-T153</f>
        <v>14235.975</v>
      </c>
      <c r="U195" s="73" t="n">
        <f aca="false">T195+U174-U153</f>
        <v>9851.2819875</v>
      </c>
      <c r="V195" s="73" t="n">
        <f aca="false">U195+V174-V153</f>
        <v>27789.0089079938</v>
      </c>
      <c r="W195" s="73" t="n">
        <f aca="false">V195+W174-W153</f>
        <v>23041.9637687675</v>
      </c>
      <c r="X195" s="73" t="n">
        <f aca="false">W195+X174-X153</f>
        <v>18102.6633014026</v>
      </c>
      <c r="Y195" s="73" t="n">
        <f aca="false">X195+Y174-Y153</f>
        <v>35515.1838200167</v>
      </c>
      <c r="Z195" s="73" t="n">
        <f aca="false">Y195+Z174-Z153</f>
        <v>30275.0799541893</v>
      </c>
      <c r="AA195" s="73" t="n">
        <f aca="false">Z195+AA174-AA153</f>
        <v>24877.772972387</v>
      </c>
      <c r="AB195" s="73" t="n">
        <f aca="false">AA195+AB174-AB153</f>
        <v>41818.5467811307</v>
      </c>
    </row>
    <row r="196" customFormat="false" ht="15" hidden="false" customHeight="false" outlineLevel="0" collapsed="false">
      <c r="A196" s="28" t="s">
        <v>933</v>
      </c>
      <c r="B196" s="62" t="s">
        <v>941</v>
      </c>
      <c r="C196" s="64" t="n">
        <f aca="false">P196</f>
        <v>0</v>
      </c>
      <c r="D196" s="64" t="n">
        <f aca="false">AB196</f>
        <v>45412.6199312839</v>
      </c>
      <c r="E196" s="73" t="n">
        <f aca="false">0+E175-E154</f>
        <v>0</v>
      </c>
      <c r="F196" s="73" t="n">
        <f aca="false">E196+F175-F154</f>
        <v>0</v>
      </c>
      <c r="G196" s="73" t="n">
        <f aca="false">F196+G175-G154</f>
        <v>0</v>
      </c>
      <c r="H196" s="73" t="n">
        <f aca="false">G196+H175-H154</f>
        <v>0</v>
      </c>
      <c r="I196" s="73" t="n">
        <f aca="false">H196+I175-I154</f>
        <v>0</v>
      </c>
      <c r="J196" s="73" t="n">
        <f aca="false">I196+J175-J154</f>
        <v>0</v>
      </c>
      <c r="K196" s="73" t="n">
        <f aca="false">J196+K175-K154</f>
        <v>0</v>
      </c>
      <c r="L196" s="73" t="n">
        <f aca="false">K196+L175-L154</f>
        <v>0</v>
      </c>
      <c r="M196" s="73" t="n">
        <f aca="false">L196+M175-M154</f>
        <v>0</v>
      </c>
      <c r="N196" s="73" t="n">
        <f aca="false">M196+N175-N154</f>
        <v>0</v>
      </c>
      <c r="O196" s="73" t="n">
        <f aca="false">N196+O175-O154</f>
        <v>0</v>
      </c>
      <c r="P196" s="73" t="n">
        <f aca="false">O196+P175-P154</f>
        <v>0</v>
      </c>
      <c r="Q196" s="73" t="n">
        <f aca="false">P196+Q175-Q154</f>
        <v>0</v>
      </c>
      <c r="R196" s="73" t="n">
        <f aca="false">Q196+R175-R154</f>
        <v>0</v>
      </c>
      <c r="S196" s="73" t="n">
        <f aca="false">R196+S175-S154</f>
        <v>0</v>
      </c>
      <c r="T196" s="73" t="n">
        <f aca="false">S196+T175-T154</f>
        <v>0</v>
      </c>
      <c r="U196" s="73" t="n">
        <f aca="false">T196+U175-U154</f>
        <v>27675</v>
      </c>
      <c r="V196" s="73" t="n">
        <f aca="false">U196+V175-V154</f>
        <v>21353.9625</v>
      </c>
      <c r="W196" s="73" t="n">
        <f aca="false">V196+W175-W154</f>
        <v>14776.92298125</v>
      </c>
      <c r="X196" s="73" t="n">
        <f aca="false">W196+X175-X154</f>
        <v>41683.5133619906</v>
      </c>
      <c r="Y196" s="73" t="n">
        <f aca="false">X196+Y175-Y154</f>
        <v>34562.9456531513</v>
      </c>
      <c r="Z196" s="73" t="n">
        <f aca="false">Y196+Z175-Z154</f>
        <v>27153.9949521039</v>
      </c>
      <c r="AA196" s="73" t="n">
        <f aca="false">Z196+AA175-AA154</f>
        <v>53272.7757300251</v>
      </c>
      <c r="AB196" s="73" t="n">
        <f aca="false">AA196+AB175-AB154</f>
        <v>45412.6199312839</v>
      </c>
    </row>
    <row r="197" customFormat="false" ht="15" hidden="false" customHeight="false" outlineLevel="0" collapsed="false">
      <c r="A197" s="22" t="s">
        <v>942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row>
    <row r="198" customFormat="false" ht="15" hidden="false" customHeight="false" outlineLevel="0" collapsed="false">
      <c r="A198" s="28" t="s">
        <v>943</v>
      </c>
      <c r="B198" s="62"/>
      <c r="C198" s="64" t="n">
        <f aca="false">SUM(E198:P198)</f>
        <v>2806498.21860054</v>
      </c>
      <c r="D198" s="64" t="n">
        <f aca="false">SUM(Q198:AB198)</f>
        <v>3857124.28815138</v>
      </c>
      <c r="E198" s="73" t="n">
        <f aca="false">SUM(E9:E28)</f>
        <v>202445.9</v>
      </c>
      <c r="F198" s="73" t="n">
        <f aca="false">SUM(F9:F28)</f>
        <v>209055.46</v>
      </c>
      <c r="G198" s="73" t="n">
        <f aca="false">SUM(G9:G28)</f>
        <v>196726.04</v>
      </c>
      <c r="H198" s="73" t="n">
        <f aca="false">SUM(H9:H28)</f>
        <v>211228.52</v>
      </c>
      <c r="I198" s="73" t="n">
        <f aca="false">SUM(I9:I28)</f>
        <v>213463.27</v>
      </c>
      <c r="J198" s="73" t="n">
        <f aca="false">SUM(J9:J28)</f>
        <v>221103.56</v>
      </c>
      <c r="K198" s="73" t="n">
        <f aca="false">SUM(K9:K28)</f>
        <v>248370.94</v>
      </c>
      <c r="L198" s="73" t="n">
        <f aca="false">SUM(L9:L28)</f>
        <v>248850.22</v>
      </c>
      <c r="M198" s="73" t="n">
        <f aca="false">SUM(M9:M28)</f>
        <v>252558.910133</v>
      </c>
      <c r="N198" s="73" t="n">
        <f aca="false">SUM(N9:N28)</f>
        <v>255208.333864375</v>
      </c>
      <c r="O198" s="73" t="n">
        <f aca="false">SUM(O9:O28)</f>
        <v>268076.970864388</v>
      </c>
      <c r="P198" s="73" t="n">
        <f aca="false">SUM(P9:P28)</f>
        <v>279410.093738776</v>
      </c>
      <c r="Q198" s="73" t="n">
        <f aca="false">SUM(Q9:Q28)</f>
        <v>285510.929868388</v>
      </c>
      <c r="R198" s="73" t="n">
        <f aca="false">SUM(R9:R28)</f>
        <v>294303.000697124</v>
      </c>
      <c r="S198" s="73" t="n">
        <f aca="false">SUM(S9:S28)</f>
        <v>304956.226560831</v>
      </c>
      <c r="T198" s="73" t="n">
        <f aca="false">SUM(T9:T28)</f>
        <v>305951.804366362</v>
      </c>
      <c r="U198" s="73" t="n">
        <f aca="false">SUM(U9:U28)</f>
        <v>318886.098430946</v>
      </c>
      <c r="V198" s="73" t="n">
        <f aca="false">SUM(V9:V28)</f>
        <v>320622.744612315</v>
      </c>
      <c r="W198" s="73" t="n">
        <f aca="false">SUM(W9:W28)</f>
        <v>324437.017302965</v>
      </c>
      <c r="X198" s="73" t="n">
        <f aca="false">SUM(X9:X28)</f>
        <v>330240.159806503</v>
      </c>
      <c r="Y198" s="73" t="n">
        <f aca="false">SUM(Y9:Y28)</f>
        <v>335702.459486471</v>
      </c>
      <c r="Z198" s="73" t="n">
        <f aca="false">SUM(Z9:Z28)</f>
        <v>339999.40085151</v>
      </c>
      <c r="AA198" s="73" t="n">
        <f aca="false">SUM(AA9:AA28)</f>
        <v>344764.095172794</v>
      </c>
      <c r="AB198" s="73" t="n">
        <f aca="false">SUM(AB9:AB28)</f>
        <v>351750.350995172</v>
      </c>
    </row>
    <row r="199" customFormat="false" ht="15" hidden="false" customHeight="false" outlineLevel="0" collapsed="false">
      <c r="A199" s="28" t="s">
        <v>944</v>
      </c>
      <c r="B199" s="62"/>
      <c r="C199" s="64" t="n">
        <f aca="false">SUM(E199:P199)</f>
        <v>2999800</v>
      </c>
      <c r="D199" s="64" t="n">
        <f aca="false">SUM(Q199:AB199)</f>
        <v>3890125</v>
      </c>
      <c r="E199" s="73" t="n">
        <f aca="false">SUM(E72:E91)</f>
        <v>255000</v>
      </c>
      <c r="F199" s="73" t="n">
        <f aca="false">SUM(F72:F91)</f>
        <v>205000</v>
      </c>
      <c r="G199" s="73" t="n">
        <f aca="false">SUM(G72:G91)</f>
        <v>172500</v>
      </c>
      <c r="H199" s="73" t="n">
        <f aca="false">SUM(H72:H91)</f>
        <v>322500</v>
      </c>
      <c r="I199" s="73" t="n">
        <f aca="false">SUM(I72:I91)</f>
        <v>205000</v>
      </c>
      <c r="J199" s="73" t="n">
        <f aca="false">SUM(J72:J91)</f>
        <v>182500</v>
      </c>
      <c r="K199" s="73" t="n">
        <f aca="false">SUM(K72:K91)</f>
        <v>402500</v>
      </c>
      <c r="L199" s="73" t="n">
        <f aca="false">SUM(L72:L91)</f>
        <v>207500</v>
      </c>
      <c r="M199" s="73" t="n">
        <f aca="false">SUM(M72:M91)</f>
        <v>181500</v>
      </c>
      <c r="N199" s="73" t="n">
        <f aca="false">SUM(N72:N91)</f>
        <v>399300</v>
      </c>
      <c r="O199" s="73" t="n">
        <f aca="false">SUM(O72:O91)</f>
        <v>255000</v>
      </c>
      <c r="P199" s="73" t="n">
        <f aca="false">SUM(P72:P91)</f>
        <v>211500</v>
      </c>
      <c r="Q199" s="73" t="n">
        <f aca="false">SUM(Q72:Q91)</f>
        <v>399300</v>
      </c>
      <c r="R199" s="73" t="n">
        <f aca="false">SUM(R72:R91)</f>
        <v>303300</v>
      </c>
      <c r="S199" s="73" t="n">
        <f aca="false">SUM(S72:S91)</f>
        <v>234000</v>
      </c>
      <c r="T199" s="73" t="n">
        <f aca="false">SUM(T72:T91)</f>
        <v>400225</v>
      </c>
      <c r="U199" s="73" t="n">
        <f aca="false">SUM(U72:U91)</f>
        <v>337050</v>
      </c>
      <c r="V199" s="73" t="n">
        <f aca="false">SUM(V72:V91)</f>
        <v>253000</v>
      </c>
      <c r="W199" s="73" t="n">
        <f aca="false">SUM(W72:W91)</f>
        <v>398225</v>
      </c>
      <c r="X199" s="73" t="n">
        <f aca="false">SUM(X72:X91)</f>
        <v>335550</v>
      </c>
      <c r="Y199" s="73" t="n">
        <f aca="false">SUM(Y72:Y91)</f>
        <v>250750</v>
      </c>
      <c r="Z199" s="73" t="n">
        <f aca="false">SUM(Z72:Z91)</f>
        <v>395975</v>
      </c>
      <c r="AA199" s="73" t="n">
        <f aca="false">SUM(AA72:AA91)</f>
        <v>332100</v>
      </c>
      <c r="AB199" s="73" t="n">
        <f aca="false">SUM(AB72:AB91)</f>
        <v>250650</v>
      </c>
    </row>
    <row r="200" customFormat="false" ht="15" hidden="false" customHeight="false" outlineLevel="0" collapsed="false">
      <c r="A200" s="28" t="s">
        <v>945</v>
      </c>
      <c r="B200" s="62"/>
      <c r="C200" s="64" t="n">
        <f aca="false">SUM(E200:P200)</f>
        <v>77038.4703416909</v>
      </c>
      <c r="D200" s="64" t="n">
        <f aca="false">SUM(Q200:AB200)</f>
        <v>349088.926825298</v>
      </c>
      <c r="E200" s="73" t="n">
        <f aca="false">SUM(E93:E112)</f>
        <v>5087.31</v>
      </c>
      <c r="F200" s="73" t="n">
        <f aca="false">SUM(F93:F112)</f>
        <v>8216.42000000001</v>
      </c>
      <c r="G200" s="73" t="n">
        <f aca="false">SUM(G93:G112)</f>
        <v>0</v>
      </c>
      <c r="H200" s="73" t="n">
        <f aca="false">SUM(H93:H112)</f>
        <v>0</v>
      </c>
      <c r="I200" s="73" t="n">
        <f aca="false">SUM(I93:I112)</f>
        <v>15059.34</v>
      </c>
      <c r="J200" s="73" t="n">
        <f aca="false">SUM(J93:J112)</f>
        <v>0</v>
      </c>
      <c r="K200" s="73" t="n">
        <f aca="false">SUM(K93:K112)</f>
        <v>0</v>
      </c>
      <c r="L200" s="73" t="n">
        <f aca="false">SUM(L93:L112)</f>
        <v>0</v>
      </c>
      <c r="M200" s="73" t="n">
        <f aca="false">SUM(M93:M112)</f>
        <v>0</v>
      </c>
      <c r="N200" s="73" t="n">
        <f aca="false">SUM(N93:N112)</f>
        <v>6683.27705168002</v>
      </c>
      <c r="O200" s="73" t="n">
        <f aca="false">SUM(O93:O112)</f>
        <v>5113.15560904797</v>
      </c>
      <c r="P200" s="73" t="n">
        <f aca="false">SUM(P93:P112)</f>
        <v>36878.9676809629</v>
      </c>
      <c r="Q200" s="73" t="n">
        <f aca="false">SUM(Q93:Q112)</f>
        <v>48955.7438484691</v>
      </c>
      <c r="R200" s="73" t="n">
        <f aca="false">SUM(R93:R112)</f>
        <v>20514.1476897342</v>
      </c>
      <c r="S200" s="73" t="n">
        <f aca="false">SUM(S93:S112)</f>
        <v>65467.7891530422</v>
      </c>
      <c r="T200" s="73" t="n">
        <f aca="false">SUM(T93:T112)</f>
        <v>55392.8299543769</v>
      </c>
      <c r="U200" s="73" t="n">
        <f aca="false">SUM(U93:U112)</f>
        <v>63292.0109878796</v>
      </c>
      <c r="V200" s="73" t="n">
        <f aca="false">SUM(V93:V112)</f>
        <v>0</v>
      </c>
      <c r="W200" s="73" t="n">
        <f aca="false">SUM(W93:W112)</f>
        <v>4352.31822562657</v>
      </c>
      <c r="X200" s="73" t="n">
        <f aca="false">SUM(X93:X112)</f>
        <v>0</v>
      </c>
      <c r="Y200" s="73" t="n">
        <f aca="false">SUM(Y93:Y112)</f>
        <v>2203.2217402168</v>
      </c>
      <c r="Z200" s="73" t="n">
        <f aca="false">SUM(Z93:Z112)</f>
        <v>16587.6468855611</v>
      </c>
      <c r="AA200" s="73" t="n">
        <f aca="false">SUM(AA93:AA112)</f>
        <v>31208.7573356439</v>
      </c>
      <c r="AB200" s="73" t="n">
        <f aca="false">SUM(AB93:AB112)</f>
        <v>41114.4610047471</v>
      </c>
    </row>
    <row r="201" customFormat="false" ht="15" hidden="false" customHeight="false" outlineLevel="0" collapsed="false">
      <c r="A201" s="28" t="s">
        <v>946</v>
      </c>
      <c r="B201" s="62"/>
      <c r="C201" s="64" t="n">
        <f aca="false">SUM(E201:P201)</f>
        <v>326220.70062</v>
      </c>
      <c r="D201" s="64" t="n">
        <f aca="false">SUM(Q201:AB201)</f>
        <v>418703.05741026</v>
      </c>
      <c r="E201" s="73" t="n">
        <f aca="false">SUM(E114:E133)</f>
        <v>36878.38</v>
      </c>
      <c r="F201" s="73" t="n">
        <f aca="false">SUM(F114:F133)</f>
        <v>0</v>
      </c>
      <c r="G201" s="73" t="n">
        <f aca="false">SUM(G114:G133)</f>
        <v>43212.58</v>
      </c>
      <c r="H201" s="73" t="n">
        <f aca="false">SUM(H114:H133)</f>
        <v>0</v>
      </c>
      <c r="I201" s="73" t="n">
        <f aca="false">SUM(I114:I133)</f>
        <v>26378.48</v>
      </c>
      <c r="J201" s="73" t="n">
        <f aca="false">SUM(J114:J133)</f>
        <v>52996.47</v>
      </c>
      <c r="K201" s="73" t="n">
        <f aca="false">SUM(K114:K133)</f>
        <v>22095.51</v>
      </c>
      <c r="L201" s="73" t="n">
        <f aca="false">SUM(L114:L133)</f>
        <v>34914.76</v>
      </c>
      <c r="M201" s="73" t="n">
        <f aca="false">SUM(M114:M133)</f>
        <v>109744.52062</v>
      </c>
      <c r="N201" s="73" t="n">
        <f aca="false">SUM(N114:N133)</f>
        <v>0</v>
      </c>
      <c r="O201" s="73" t="n">
        <f aca="false">SUM(O114:O133)</f>
        <v>0</v>
      </c>
      <c r="P201" s="73" t="n">
        <f aca="false">SUM(P114:P133)</f>
        <v>0</v>
      </c>
      <c r="Q201" s="73" t="n">
        <f aca="false">SUM(Q114:Q133)</f>
        <v>20670.2974101282</v>
      </c>
      <c r="R201" s="73" t="n">
        <f aca="false">SUM(R114:R133)</f>
        <v>0</v>
      </c>
      <c r="S201" s="73" t="n">
        <f aca="false">SUM(S114:S133)</f>
        <v>104530.050501205</v>
      </c>
      <c r="T201" s="73" t="n">
        <f aca="false">SUM(T114:T133)</f>
        <v>0</v>
      </c>
      <c r="U201" s="73" t="n">
        <f aca="false">SUM(U114:U133)</f>
        <v>0</v>
      </c>
      <c r="V201" s="73" t="n">
        <f aca="false">SUM(V114:V133)</f>
        <v>121386.096495831</v>
      </c>
      <c r="W201" s="73" t="n">
        <f aca="false">SUM(W114:W133)</f>
        <v>0</v>
      </c>
      <c r="X201" s="73" t="n">
        <f aca="false">SUM(X114:X133)</f>
        <v>11712.120364688</v>
      </c>
      <c r="Y201" s="73" t="n">
        <f aca="false">SUM(Y114:Y133)</f>
        <v>53716.3380313987</v>
      </c>
      <c r="Z201" s="73" t="n">
        <f aca="false">SUM(Z114:Z133)</f>
        <v>66428.4736232323</v>
      </c>
      <c r="AA201" s="73" t="n">
        <f aca="false">SUM(AA114:AA133)</f>
        <v>40259.6809837771</v>
      </c>
      <c r="AB201" s="73" t="n">
        <f aca="false">SUM(AB114:AB133)</f>
        <v>0</v>
      </c>
    </row>
    <row r="202" customFormat="false" ht="15" hidden="false" customHeight="false" outlineLevel="0" collapsed="false">
      <c r="A202" s="58" t="s">
        <v>947</v>
      </c>
      <c r="B202" s="59"/>
      <c r="C202" s="60" t="n">
        <f aca="false">SUM(E202:P202)</f>
        <v>3132718.91922054</v>
      </c>
      <c r="D202" s="60" t="n">
        <f aca="false">SUM(Q202:AB202)</f>
        <v>4275827.34556164</v>
      </c>
      <c r="E202" s="60" t="n">
        <f aca="false">SUM(E135:E154)</f>
        <v>239324.28</v>
      </c>
      <c r="F202" s="60" t="n">
        <f aca="false">SUM(F135:F154)</f>
        <v>209055.46</v>
      </c>
      <c r="G202" s="60" t="n">
        <f aca="false">SUM(G135:G154)</f>
        <v>239938.62</v>
      </c>
      <c r="H202" s="60" t="n">
        <f aca="false">SUM(H135:H154)</f>
        <v>211228.52</v>
      </c>
      <c r="I202" s="60" t="n">
        <f aca="false">SUM(I135:I154)</f>
        <v>239841.75</v>
      </c>
      <c r="J202" s="60" t="n">
        <f aca="false">SUM(J135:J154)</f>
        <v>274100.03</v>
      </c>
      <c r="K202" s="60" t="n">
        <f aca="false">SUM(K135:K154)</f>
        <v>270466.45</v>
      </c>
      <c r="L202" s="60" t="n">
        <f aca="false">SUM(L135:L154)</f>
        <v>283764.98</v>
      </c>
      <c r="M202" s="60" t="n">
        <f aca="false">SUM(M135:M154)</f>
        <v>362303.430753</v>
      </c>
      <c r="N202" s="60" t="n">
        <f aca="false">SUM(N135:N154)</f>
        <v>255208.333864375</v>
      </c>
      <c r="O202" s="60" t="n">
        <f aca="false">SUM(O135:O154)</f>
        <v>268076.970864388</v>
      </c>
      <c r="P202" s="60" t="n">
        <f aca="false">SUM(P135:P154)</f>
        <v>279410.093738776</v>
      </c>
      <c r="Q202" s="60" t="n">
        <f aca="false">SUM(Q135:Q154)</f>
        <v>306181.227278516</v>
      </c>
      <c r="R202" s="60" t="n">
        <f aca="false">SUM(R135:R154)</f>
        <v>294303.000697124</v>
      </c>
      <c r="S202" s="60" t="n">
        <f aca="false">SUM(S135:S154)</f>
        <v>409486.277062036</v>
      </c>
      <c r="T202" s="60" t="n">
        <f aca="false">SUM(T135:T154)</f>
        <v>305951.804366362</v>
      </c>
      <c r="U202" s="60" t="n">
        <f aca="false">SUM(U135:U154)</f>
        <v>318886.098430946</v>
      </c>
      <c r="V202" s="60" t="n">
        <f aca="false">SUM(V135:V154)</f>
        <v>442008.841108146</v>
      </c>
      <c r="W202" s="60" t="n">
        <f aca="false">SUM(W135:W154)</f>
        <v>324437.017302965</v>
      </c>
      <c r="X202" s="60" t="n">
        <f aca="false">SUM(X135:X154)</f>
        <v>341952.280171191</v>
      </c>
      <c r="Y202" s="60" t="n">
        <f aca="false">SUM(Y135:Y154)</f>
        <v>389418.79751787</v>
      </c>
      <c r="Z202" s="60" t="n">
        <f aca="false">SUM(Z135:Z154)</f>
        <v>406427.874474742</v>
      </c>
      <c r="AA202" s="60" t="n">
        <f aca="false">SUM(AA135:AA154)</f>
        <v>385023.776156571</v>
      </c>
      <c r="AB202" s="60" t="n">
        <f aca="false">SUM(AB135:AB154)</f>
        <v>351750.350995172</v>
      </c>
    </row>
    <row r="203" customFormat="false" ht="15" hidden="false" customHeight="false" outlineLevel="0" collapsed="false">
      <c r="A203" s="58" t="s">
        <v>948</v>
      </c>
      <c r="B203" s="59"/>
      <c r="C203" s="60" t="n">
        <f aca="false">SUM(E203:P203)</f>
        <v>3076838.47034169</v>
      </c>
      <c r="D203" s="60" t="n">
        <f aca="false">SUM(Q203:AB203)</f>
        <v>4239213.9268253</v>
      </c>
      <c r="E203" s="60" t="n">
        <f aca="false">SUM(E156:E175)</f>
        <v>260087.31</v>
      </c>
      <c r="F203" s="60" t="n">
        <f aca="false">SUM(F156:F175)</f>
        <v>213216.42</v>
      </c>
      <c r="G203" s="60" t="n">
        <f aca="false">SUM(G156:G175)</f>
        <v>172500</v>
      </c>
      <c r="H203" s="60" t="n">
        <f aca="false">SUM(H156:H175)</f>
        <v>322500</v>
      </c>
      <c r="I203" s="60" t="n">
        <f aca="false">SUM(I156:I175)</f>
        <v>220059.34</v>
      </c>
      <c r="J203" s="60" t="n">
        <f aca="false">SUM(J156:J175)</f>
        <v>182500</v>
      </c>
      <c r="K203" s="60" t="n">
        <f aca="false">SUM(K156:K175)</f>
        <v>402500</v>
      </c>
      <c r="L203" s="60" t="n">
        <f aca="false">SUM(L156:L175)</f>
        <v>207500</v>
      </c>
      <c r="M203" s="60" t="n">
        <f aca="false">SUM(M156:M175)</f>
        <v>181500</v>
      </c>
      <c r="N203" s="60" t="n">
        <f aca="false">SUM(N156:N175)</f>
        <v>405983.27705168</v>
      </c>
      <c r="O203" s="60" t="n">
        <f aca="false">SUM(O156:O175)</f>
        <v>260113.155609048</v>
      </c>
      <c r="P203" s="60" t="n">
        <f aca="false">SUM(P156:P175)</f>
        <v>248378.967680963</v>
      </c>
      <c r="Q203" s="60" t="n">
        <f aca="false">SUM(Q156:Q175)</f>
        <v>448255.743848469</v>
      </c>
      <c r="R203" s="60" t="n">
        <f aca="false">SUM(R156:R175)</f>
        <v>323814.147689734</v>
      </c>
      <c r="S203" s="60" t="n">
        <f aca="false">SUM(S156:S175)</f>
        <v>299467.789153042</v>
      </c>
      <c r="T203" s="60" t="n">
        <f aca="false">SUM(T156:T175)</f>
        <v>455617.829954377</v>
      </c>
      <c r="U203" s="60" t="n">
        <f aca="false">SUM(U156:U175)</f>
        <v>400342.01098788</v>
      </c>
      <c r="V203" s="60" t="n">
        <f aca="false">SUM(V156:V175)</f>
        <v>253000</v>
      </c>
      <c r="W203" s="60" t="n">
        <f aca="false">SUM(W156:W175)</f>
        <v>402577.318225627</v>
      </c>
      <c r="X203" s="60" t="n">
        <f aca="false">SUM(X156:X175)</f>
        <v>335550</v>
      </c>
      <c r="Y203" s="60" t="n">
        <f aca="false">SUM(Y156:Y175)</f>
        <v>252953.221740217</v>
      </c>
      <c r="Z203" s="60" t="n">
        <f aca="false">SUM(Z156:Z175)</f>
        <v>412562.646885561</v>
      </c>
      <c r="AA203" s="60" t="n">
        <f aca="false">SUM(AA156:AA175)</f>
        <v>363308.757335644</v>
      </c>
      <c r="AB203" s="60" t="n">
        <f aca="false">SUM(AB156:AB175)</f>
        <v>291764.461004747</v>
      </c>
    </row>
    <row r="204" customFormat="false" ht="15" hidden="false" customHeight="false" outlineLevel="0" collapsed="false">
      <c r="A204" s="28" t="s">
        <v>949</v>
      </c>
      <c r="B204" s="62"/>
      <c r="C204" s="64" t="n">
        <f aca="false">SUM(E204:P204)</f>
        <v>1268471.208</v>
      </c>
      <c r="D204" s="64" t="n">
        <f aca="false">SUM(Q204:AB204)</f>
        <v>1763494.36667387</v>
      </c>
      <c r="E204" s="65" t="n">
        <f aca="false">(1+Assumptions!$C$18)*(E156+E160+E164+E169+E171)</f>
        <v>72000</v>
      </c>
      <c r="F204" s="65" t="n">
        <f aca="false">(1+Assumptions!$C$18)*(F156+F160+F164+F169+F171)</f>
        <v>57000</v>
      </c>
      <c r="G204" s="65" t="n">
        <f aca="false">(1+Assumptions!$C$18)*(G156+G160+G164+G169+G171)</f>
        <v>105000</v>
      </c>
      <c r="H204" s="65" t="n">
        <f aca="false">(1+Assumptions!$C$18)*(H156+H160+H164+H169+H171)</f>
        <v>144000</v>
      </c>
      <c r="I204" s="65" t="n">
        <f aca="false">(1+Assumptions!$C$18)*(I156+I160+I164+I169+I171)</f>
        <v>75071.208</v>
      </c>
      <c r="J204" s="65" t="n">
        <f aca="false">(1+Assumptions!$C$18)*(J156+J160+J164+J169+J171)</f>
        <v>114000</v>
      </c>
      <c r="K204" s="65" t="n">
        <f aca="false">(1+Assumptions!$C$18)*(K156+K160+K164+K169+K171)</f>
        <v>150000</v>
      </c>
      <c r="L204" s="65" t="n">
        <f aca="false">(1+Assumptions!$C$18)*(L156+L160+L164+L169+L171)</f>
        <v>57000</v>
      </c>
      <c r="M204" s="65" t="n">
        <f aca="false">(1+Assumptions!$C$18)*(M156+M160+M164+M169+M171)</f>
        <v>114000</v>
      </c>
      <c r="N204" s="65" t="n">
        <f aca="false">(1+Assumptions!$C$18)*(N156+N160+N164+N169+N171)</f>
        <v>150000</v>
      </c>
      <c r="O204" s="65" t="n">
        <f aca="false">(1+Assumptions!$C$18)*(O156+O160+O164+O169+O171)</f>
        <v>116400</v>
      </c>
      <c r="P204" s="65" t="n">
        <f aca="false">(1+Assumptions!$C$18)*(P156+P160+P164+P169+P171)</f>
        <v>114000</v>
      </c>
      <c r="Q204" s="65" t="n">
        <f aca="false">(1+Assumptions!$C$18)*(Q156+Q160+Q164+Q169+Q171)</f>
        <v>150000</v>
      </c>
      <c r="R204" s="65" t="n">
        <f aca="false">(1+Assumptions!$C$18)*(R156+R160+R164+R169+R171)</f>
        <v>117360</v>
      </c>
      <c r="S204" s="65" t="n">
        <f aca="false">(1+Assumptions!$C$18)*(S156+S160+S164+S169+S171)</f>
        <v>167427.413234188</v>
      </c>
      <c r="T204" s="65" t="n">
        <f aca="false">(1+Assumptions!$C$18)*(T156+T160+T164+T169+T171)</f>
        <v>207241.183699152</v>
      </c>
      <c r="U204" s="65" t="n">
        <f aca="false">(1+Assumptions!$C$18)*(U156+U160+U164+U169+U171)</f>
        <v>176105.769740534</v>
      </c>
      <c r="V204" s="65" t="n">
        <f aca="false">(1+Assumptions!$C$18)*(V156+V160+V164+V169+V171)</f>
        <v>138000</v>
      </c>
      <c r="W204" s="65" t="n">
        <f aca="false">(1+Assumptions!$C$18)*(W156+W160+W164+W169+W171)</f>
        <v>149040</v>
      </c>
      <c r="X204" s="65" t="n">
        <f aca="false">(1+Assumptions!$C$18)*(X156+X160+X164+X169+X171)</f>
        <v>117360</v>
      </c>
      <c r="Y204" s="65" t="n">
        <f aca="false">(1+Assumptions!$C$18)*(Y156+Y160+Y164+Y169+Y171)</f>
        <v>138000</v>
      </c>
      <c r="Z204" s="65" t="n">
        <f aca="false">(1+Assumptions!$C$18)*(Z156+Z160+Z164+Z169+Z171)</f>
        <v>149040</v>
      </c>
      <c r="AA204" s="65" t="n">
        <f aca="false">(1+Assumptions!$C$18)*(AA156+AA160+AA164+AA169+AA171)</f>
        <v>115920</v>
      </c>
      <c r="AB204" s="65" t="n">
        <f aca="false">(1+Assumptions!$C$18)*(AB156+AB160+AB164+AB169+AB171)</f>
        <v>138000</v>
      </c>
    </row>
    <row r="205" customFormat="false" ht="15" hidden="false" customHeight="false" outlineLevel="0" collapsed="false">
      <c r="A205" s="28" t="s">
        <v>950</v>
      </c>
      <c r="B205" s="62"/>
      <c r="C205" s="64" t="n">
        <f aca="false">SUM(E205:P205)</f>
        <v>2019779.13034169</v>
      </c>
      <c r="D205" s="64" t="n">
        <f aca="false">SUM(Q205:AB205)</f>
        <v>2769635.2879304</v>
      </c>
      <c r="E205" s="73" t="n">
        <f aca="false">E157+E158+E159+E161+E162+E163+E165+E166+E167+E168+E170+E172+E173+E174+E175</f>
        <v>200087.31</v>
      </c>
      <c r="F205" s="73" t="n">
        <f aca="false">F157+F158+F159+F161+F162+F163+F165+F166+F167+F168+F170+F172+F173+F174+F175</f>
        <v>165716.42</v>
      </c>
      <c r="G205" s="73" t="n">
        <f aca="false">G157+G158+G159+G161+G162+G163+G165+G166+G167+G168+G170+G172+G173+G174+G175</f>
        <v>85000</v>
      </c>
      <c r="H205" s="73" t="n">
        <f aca="false">H157+H158+H159+H161+H162+H163+H165+H166+H167+H168+H170+H172+H173+H174+H175</f>
        <v>202500</v>
      </c>
      <c r="I205" s="73" t="n">
        <f aca="false">I157+I158+I159+I161+I162+I163+I165+I166+I167+I168+I170+I172+I173+I174+I175</f>
        <v>157500</v>
      </c>
      <c r="J205" s="73" t="n">
        <f aca="false">J157+J158+J159+J161+J162+J163+J165+J166+J167+J168+J170+J172+J173+J174+J175</f>
        <v>87500</v>
      </c>
      <c r="K205" s="73" t="n">
        <f aca="false">K157+K158+K159+K161+K162+K163+K165+K166+K167+K168+K170+K172+K173+K174+K175</f>
        <v>277500</v>
      </c>
      <c r="L205" s="73" t="n">
        <f aca="false">L157+L158+L159+L161+L162+L163+L165+L166+L167+L168+L170+L172+L173+L174+L175</f>
        <v>160000</v>
      </c>
      <c r="M205" s="73" t="n">
        <f aca="false">M157+M158+M159+M161+M162+M163+M165+M166+M167+M168+M170+M172+M173+M174+M175</f>
        <v>86500</v>
      </c>
      <c r="N205" s="73" t="n">
        <f aca="false">N157+N158+N159+N161+N162+N163+N165+N166+N167+N168+N170+N172+N173+N174+N175</f>
        <v>280983.27705168</v>
      </c>
      <c r="O205" s="73" t="n">
        <f aca="false">O157+O158+O159+O161+O162+O163+O165+O166+O167+O168+O170+O172+O173+O174+O175</f>
        <v>163113.155609048</v>
      </c>
      <c r="P205" s="73" t="n">
        <f aca="false">P157+P158+P159+P161+P162+P163+P165+P166+P167+P168+P170+P172+P173+P174+P175</f>
        <v>153378.967680963</v>
      </c>
      <c r="Q205" s="73" t="n">
        <f aca="false">Q157+Q158+Q159+Q161+Q162+Q163+Q165+Q166+Q167+Q168+Q170+Q172+Q173+Q174+Q175</f>
        <v>323255.743848469</v>
      </c>
      <c r="R205" s="73" t="n">
        <f aca="false">R157+R158+R159+R161+R162+R163+R165+R166+R167+R168+R170+R172+R173+R174+R175</f>
        <v>226014.147689734</v>
      </c>
      <c r="S205" s="73" t="n">
        <f aca="false">S157+S158+S159+S161+S162+S163+S165+S166+S167+S168+S170+S172+S173+S174+S175</f>
        <v>159944.944791219</v>
      </c>
      <c r="T205" s="73" t="n">
        <f aca="false">T157+T158+T159+T161+T162+T163+T165+T166+T167+T168+T170+T172+T173+T174+T175</f>
        <v>282916.843538417</v>
      </c>
      <c r="U205" s="73" t="n">
        <f aca="false">U157+U158+U159+U161+U162+U163+U165+U166+U167+U168+U170+U172+U173+U174+U175</f>
        <v>253587.202870768</v>
      </c>
      <c r="V205" s="73" t="n">
        <f aca="false">V157+V158+V159+V161+V162+V163+V165+V166+V167+V168+V170+V172+V173+V174+V175</f>
        <v>138000</v>
      </c>
      <c r="W205" s="73" t="n">
        <f aca="false">W157+W158+W159+W161+W162+W163+W165+W166+W167+W168+W170+W172+W173+W174+W175</f>
        <v>278377.318225627</v>
      </c>
      <c r="X205" s="73" t="n">
        <f aca="false">X157+X158+X159+X161+X162+X163+X165+X166+X167+X168+X170+X172+X173+X174+X175</f>
        <v>237750</v>
      </c>
      <c r="Y205" s="73" t="n">
        <f aca="false">Y157+Y158+Y159+Y161+Y162+Y163+Y165+Y166+Y167+Y168+Y170+Y172+Y173+Y174+Y175</f>
        <v>137953.221740217</v>
      </c>
      <c r="Z205" s="73" t="n">
        <f aca="false">Z157+Z158+Z159+Z161+Z162+Z163+Z165+Z166+Z167+Z168+Z170+Z172+Z173+Z174+Z175</f>
        <v>288362.646885561</v>
      </c>
      <c r="AA205" s="73" t="n">
        <f aca="false">AA157+AA158+AA159+AA161+AA162+AA163+AA165+AA166+AA167+AA168+AA170+AA172+AA173+AA174+AA175</f>
        <v>266708.757335644</v>
      </c>
      <c r="AB205" s="73" t="n">
        <f aca="false">AB157+AB158+AB159+AB161+AB162+AB163+AB165+AB166+AB167+AB168+AB170+AB172+AB173+AB174+AB175</f>
        <v>176764.461004747</v>
      </c>
    </row>
    <row r="206" customFormat="false" ht="15" hidden="false" customHeight="false" outlineLevel="0" collapsed="false">
      <c r="A206" s="28" t="s">
        <v>951</v>
      </c>
      <c r="B206" s="62"/>
      <c r="C206" s="64" t="n">
        <f aca="false">SUM(E206:P206)</f>
        <v>1814779.13034169</v>
      </c>
      <c r="D206" s="64" t="n">
        <f aca="false">SUM(Q206:AB206)</f>
        <v>2480510.2879304</v>
      </c>
      <c r="E206" s="73" t="n">
        <f aca="false">E157+E158+E161+E162+E163+E165+E166+E167+E168+E170+E172+E173+E175</f>
        <v>152587.31</v>
      </c>
      <c r="F206" s="73" t="n">
        <f aca="false">F157+F158+F161+F162+F163+F165+F166+F167+F168+F170+F172+F173+F175</f>
        <v>165716.42</v>
      </c>
      <c r="G206" s="73" t="n">
        <f aca="false">G157+G158+G161+G162+G163+G165+G166+G167+G168+G170+G172+G173+G175</f>
        <v>85000</v>
      </c>
      <c r="H206" s="73" t="n">
        <f aca="false">H157+H158+H161+H162+H163+H165+H166+H167+H168+H170+H172+H173+H175</f>
        <v>150000</v>
      </c>
      <c r="I206" s="73" t="n">
        <f aca="false">I157+I158+I161+I162+I163+I165+I166+I167+I168+I170+I172+I173+I175</f>
        <v>157500</v>
      </c>
      <c r="J206" s="73" t="n">
        <f aca="false">J157+J158+J161+J162+J163+J165+J166+J167+J168+J170+J172+J173+J175</f>
        <v>87500</v>
      </c>
      <c r="K206" s="73" t="n">
        <f aca="false">K157+K158+K161+K162+K163+K165+K166+K167+K168+K170+K172+K173+K175</f>
        <v>225000</v>
      </c>
      <c r="L206" s="73" t="n">
        <f aca="false">L157+L158+L161+L162+L163+L165+L166+L167+L168+L170+L172+L173+L175</f>
        <v>160000</v>
      </c>
      <c r="M206" s="73" t="n">
        <f aca="false">M157+M158+M161+M162+M163+M165+M166+M167+M168+M170+M172+M173+M175</f>
        <v>86500</v>
      </c>
      <c r="N206" s="73" t="n">
        <f aca="false">N157+N158+N161+N162+N163+N165+N166+N167+N168+N170+N172+N173+N175</f>
        <v>228483.27705168</v>
      </c>
      <c r="O206" s="73" t="n">
        <f aca="false">O157+O158+O161+O162+O163+O165+O166+O167+O168+O170+O172+O173+O175</f>
        <v>163113.155609048</v>
      </c>
      <c r="P206" s="73" t="n">
        <f aca="false">P157+P158+P161+P162+P163+P165+P166+P167+P168+P170+P172+P173+P175</f>
        <v>153378.967680963</v>
      </c>
      <c r="Q206" s="73" t="n">
        <f aca="false">Q157+Q158+Q161+Q162+Q163+Q165+Q166+Q167+Q168+Q170+Q172+Q173+Q175</f>
        <v>270755.743848469</v>
      </c>
      <c r="R206" s="73" t="n">
        <f aca="false">R157+R158+R161+R162+R163+R165+R166+R167+R168+R170+R172+R173+R175</f>
        <v>226014.147689734</v>
      </c>
      <c r="S206" s="73" t="n">
        <f aca="false">S157+S158+S161+S162+S163+S165+S166+S167+S168+S170+S172+S173+S175</f>
        <v>137444.944791219</v>
      </c>
      <c r="T206" s="73" t="n">
        <f aca="false">T157+T158+T161+T162+T163+T165+T166+T167+T168+T170+T172+T173+T175</f>
        <v>234041.843538417</v>
      </c>
      <c r="U206" s="73" t="n">
        <f aca="false">U157+U158+U161+U162+U163+U165+U166+U167+U168+U170+U172+U173+U175</f>
        <v>253587.202870768</v>
      </c>
      <c r="V206" s="73" t="n">
        <f aca="false">V157+V158+V161+V162+V163+V165+V166+V167+V168+V170+V172+V173+V175</f>
        <v>115500</v>
      </c>
      <c r="W206" s="73" t="n">
        <f aca="false">W157+W158+W161+W162+W163+W165+W166+W167+W168+W170+W172+W173+W175</f>
        <v>229502.318225627</v>
      </c>
      <c r="X206" s="73" t="n">
        <f aca="false">X157+X158+X161+X162+X163+X165+X166+X167+X168+X170+X172+X173+X175</f>
        <v>237750</v>
      </c>
      <c r="Y206" s="73" t="n">
        <f aca="false">Y157+Y158+Y161+Y162+Y163+Y165+Y166+Y167+Y168+Y170+Y172+Y173+Y175</f>
        <v>115453.221740217</v>
      </c>
      <c r="Z206" s="73" t="n">
        <f aca="false">Z157+Z158+Z161+Z162+Z163+Z165+Z166+Z167+Z168+Z170+Z172+Z173+Z175</f>
        <v>239487.646885561</v>
      </c>
      <c r="AA206" s="73" t="n">
        <f aca="false">AA157+AA158+AA161+AA162+AA163+AA165+AA166+AA167+AA168+AA170+AA172+AA173+AA175</f>
        <v>266708.757335644</v>
      </c>
      <c r="AB206" s="73" t="n">
        <f aca="false">AB157+AB158+AB161+AB162+AB163+AB165+AB166+AB167+AB168+AB170+AB172+AB173+AB175</f>
        <v>154264.461004747</v>
      </c>
    </row>
    <row r="207" customFormat="false" ht="15" hidden="false" customHeight="false" outlineLevel="0" collapsed="false">
      <c r="A207" s="28" t="s">
        <v>952</v>
      </c>
      <c r="B207" s="62"/>
      <c r="C207" s="64" t="n">
        <f aca="false">P207</f>
        <v>364163.980988086</v>
      </c>
      <c r="D207" s="64" t="n">
        <f aca="false">AB207</f>
        <v>341911.026392767</v>
      </c>
      <c r="E207" s="73" t="n">
        <f aca="false">SUMIF(E177:E196,"&gt;0")</f>
        <v>405068.32</v>
      </c>
      <c r="F207" s="73" t="n">
        <f aca="false">SUMIF(F177:F196,"&gt;0")</f>
        <v>416887.68</v>
      </c>
      <c r="G207" s="73" t="n">
        <f aca="false">SUMIF(G177:G196,"&gt;0")</f>
        <v>341790.66</v>
      </c>
      <c r="H207" s="73" t="n">
        <f aca="false">SUMIF(H177:H196,"&gt;0")</f>
        <v>460931.04</v>
      </c>
      <c r="I207" s="73" t="n">
        <f aca="false">SUMIF(I177:I196,"&gt;0")</f>
        <v>433279.73</v>
      </c>
      <c r="J207" s="73" t="n">
        <f aca="false">SUMIF(J177:J196,"&gt;0")</f>
        <v>349007.77</v>
      </c>
      <c r="K207" s="73" t="n">
        <f aca="false">SUMIF(K177:K196,"&gt;0")</f>
        <v>503048.46</v>
      </c>
      <c r="L207" s="73" t="n">
        <f aca="false">SUMIF(L177:L196,"&gt;0")</f>
        <v>419326.25</v>
      </c>
      <c r="M207" s="73" t="n">
        <f aca="false">SUMIF(M177:M196,"&gt;0")</f>
        <v>248434.614237</v>
      </c>
      <c r="N207" s="73" t="n">
        <f aca="false">SUMIF(N177:N196,"&gt;0")</f>
        <v>426354.189087705</v>
      </c>
      <c r="O207" s="73" t="n">
        <f aca="false">SUMIF(O177:O196,"&gt;0")</f>
        <v>431522.453404557</v>
      </c>
      <c r="P207" s="73" t="n">
        <f aca="false">SUMIF(P177:P196,"&gt;0")</f>
        <v>364163.980988086</v>
      </c>
      <c r="Q207" s="73" t="n">
        <f aca="false">SUMIF(Q177:Q196,"&gt;0")</f>
        <v>518427.95346977</v>
      </c>
      <c r="R207" s="73" t="n">
        <f aca="false">SUMIF(R177:R196,"&gt;0")</f>
        <v>604818.789806373</v>
      </c>
      <c r="S207" s="73" t="n">
        <f aca="false">SUMIF(S177:S196,"&gt;0")</f>
        <v>389992.016774723</v>
      </c>
      <c r="T207" s="73" t="n">
        <f aca="false">SUMIF(T177:T196,"&gt;0")</f>
        <v>563778.825788112</v>
      </c>
      <c r="U207" s="73" t="n">
        <f aca="false">SUMIF(U177:U196,"&gt;0")</f>
        <v>621113.954919672</v>
      </c>
      <c r="V207" s="73" t="n">
        <f aca="false">SUMIF(V177:V196,"&gt;0")</f>
        <v>451102.423663752</v>
      </c>
      <c r="W207" s="73" t="n">
        <f aca="false">SUMIF(W177:W196,"&gt;0")</f>
        <v>565541.303045968</v>
      </c>
      <c r="X207" s="73" t="n">
        <f aca="false">SUMIF(X177:X196,"&gt;0")</f>
        <v>544629.810346209</v>
      </c>
      <c r="Y207" s="73" t="n">
        <f aca="false">SUMIF(Y177:Y196,"&gt;0")</f>
        <v>431238.358977798</v>
      </c>
      <c r="Z207" s="73" t="n">
        <f aca="false">SUMIF(Z177:Z196,"&gt;0")</f>
        <v>471505.132046286</v>
      </c>
      <c r="AA207" s="73" t="n">
        <f aca="false">SUMIF(AA177:AA196,"&gt;0")</f>
        <v>457665.531180904</v>
      </c>
      <c r="AB207" s="73" t="n">
        <f aca="false">SUMIF(AB177:AB196,"&gt;0")</f>
        <v>341911.026392767</v>
      </c>
    </row>
    <row r="208" customFormat="false" ht="15" hidden="false" customHeight="false" outlineLevel="0" collapsed="false">
      <c r="A208" s="28" t="s">
        <v>953</v>
      </c>
      <c r="B208" s="62"/>
      <c r="C208" s="64" t="n">
        <f aca="false">P208</f>
        <v>35739.1398669335</v>
      </c>
      <c r="D208" s="64" t="n">
        <f aca="false">AB208</f>
        <v>50099.6040079565</v>
      </c>
      <c r="E208" s="73" t="n">
        <f aca="false">-SUMIF(E177:E196,"&lt;0")</f>
        <v>-0</v>
      </c>
      <c r="F208" s="73" t="n">
        <f aca="false">-SUMIF(F177:F196,"&lt;0")</f>
        <v>7658.4</v>
      </c>
      <c r="G208" s="73" t="n">
        <f aca="false">-SUMIF(G177:G196,"&lt;0")</f>
        <v>-0</v>
      </c>
      <c r="H208" s="73" t="n">
        <f aca="false">-SUMIF(H177:H196,"&lt;0")</f>
        <v>7868.9</v>
      </c>
      <c r="I208" s="73" t="n">
        <f aca="false">-SUMIF(I177:I196,"&lt;0")</f>
        <v>-0</v>
      </c>
      <c r="J208" s="73" t="n">
        <f aca="false">-SUMIF(J177:J196,"&lt;0")</f>
        <v>7328.07</v>
      </c>
      <c r="K208" s="73" t="n">
        <f aca="false">-SUMIF(K177:K196,"&lt;0")</f>
        <v>29335.21</v>
      </c>
      <c r="L208" s="73" t="n">
        <f aca="false">-SUMIF(L177:L196,"&lt;0")</f>
        <v>21877.98</v>
      </c>
      <c r="M208" s="73" t="n">
        <f aca="false">-SUMIF(M177:M196,"&lt;0")</f>
        <v>31789.77499</v>
      </c>
      <c r="N208" s="73" t="n">
        <f aca="false">-SUMIF(N177:N196,"&lt;0")</f>
        <v>58934.4066534</v>
      </c>
      <c r="O208" s="73" t="n">
        <f aca="false">-SUMIF(O177:O196,"&lt;0")</f>
        <v>72066.4862255914</v>
      </c>
      <c r="P208" s="73" t="n">
        <f aca="false">-SUMIF(P177:P196,"&lt;0")</f>
        <v>35739.1398669335</v>
      </c>
      <c r="Q208" s="73" t="n">
        <f aca="false">-SUMIF(Q177:Q196,"&lt;0")</f>
        <v>47928.5957786636</v>
      </c>
      <c r="R208" s="73" t="n">
        <f aca="false">-SUMIF(R177:R196,"&lt;0")</f>
        <v>104808.285122656</v>
      </c>
      <c r="S208" s="73" t="n">
        <f aca="false">-SUMIF(S177:S196,"&lt;0")</f>
        <v>-0</v>
      </c>
      <c r="T208" s="73" t="n">
        <f aca="false">-SUMIF(T177:T196,"&lt;0")</f>
        <v>24120.7834253745</v>
      </c>
      <c r="U208" s="73" t="n">
        <f aca="false">-SUMIF(U177:U196,"&lt;0")</f>
        <v>-0</v>
      </c>
      <c r="V208" s="73" t="n">
        <f aca="false">-SUMIF(V177:V196,"&lt;0")</f>
        <v>18997.3098522263</v>
      </c>
      <c r="W208" s="73" t="n">
        <f aca="false">-SUMIF(W177:W196,"&lt;0")</f>
        <v>55295.8883117808</v>
      </c>
      <c r="X208" s="73" t="n">
        <f aca="false">-SUMIF(X177:X196,"&lt;0")</f>
        <v>40786.6757832136</v>
      </c>
      <c r="Y208" s="73" t="n">
        <f aca="false">-SUMIF(Y177:Y196,"&lt;0")</f>
        <v>63860.8001924558</v>
      </c>
      <c r="Z208" s="73" t="n">
        <f aca="false">-SUMIF(Z177:Z196,"&lt;0")</f>
        <v>97992.8008501243</v>
      </c>
      <c r="AA208" s="73" t="n">
        <f aca="false">-SUMIF(AA177:AA196,"&lt;0")</f>
        <v>105868.218805668</v>
      </c>
      <c r="AB208" s="73" t="n">
        <f aca="false">-SUMIF(AB177:AB196,"&lt;0")</f>
        <v>50099.6040079565</v>
      </c>
    </row>
    <row r="209" customFormat="false" ht="15" hidden="false" customHeight="false" outlineLevel="0" collapsed="false">
      <c r="A209" s="28" t="s">
        <v>954</v>
      </c>
      <c r="B209" s="62"/>
      <c r="C209" s="64" t="n">
        <f aca="false">SUM(E209:P209)</f>
        <v>0</v>
      </c>
      <c r="D209" s="64" t="n">
        <f aca="false">SUM(Q209:AB209)</f>
        <v>0</v>
      </c>
      <c r="E209" s="65" t="n">
        <f aca="false">ROUND((E207-E208)-(Inputs_Actuals!$C$190-Inputs_Actuals!$C$178)-(E203-E202),2)</f>
        <v>0</v>
      </c>
      <c r="F209" s="73" t="n">
        <f aca="false">ROUND((F207-F208)-(E207-E208)-(F203-F202),2)</f>
        <v>-0</v>
      </c>
      <c r="G209" s="73" t="n">
        <f aca="false">ROUND((G207-G208)-(F207-F208)-(G203-G202),2)</f>
        <v>0</v>
      </c>
      <c r="H209" s="73" t="n">
        <f aca="false">ROUND((H207-H208)-(G207-G208)-(H203-H202),2)</f>
        <v>0</v>
      </c>
      <c r="I209" s="73" t="n">
        <f aca="false">ROUND((I207-I208)-(H207-H208)-(I203-I202),2)</f>
        <v>0</v>
      </c>
      <c r="J209" s="73" t="n">
        <f aca="false">ROUND((J207-J208)-(I207-I208)-(J203-J202),2)</f>
        <v>0</v>
      </c>
      <c r="K209" s="73" t="n">
        <f aca="false">ROUND((K207-K208)-(J207-J208)-(K203-K202),2)</f>
        <v>0</v>
      </c>
      <c r="L209" s="73" t="n">
        <f aca="false">ROUND((L207-L208)-(K207-K208)-(L203-L202),2)</f>
        <v>0</v>
      </c>
      <c r="M209" s="73" t="n">
        <f aca="false">ROUND((M207-M208)-(L207-L208)-(M203-M202),2)</f>
        <v>0</v>
      </c>
      <c r="N209" s="73" t="n">
        <f aca="false">ROUND((N207-N208)-(M207-M208)-(N203-N202),2)</f>
        <v>0</v>
      </c>
      <c r="O209" s="73" t="n">
        <f aca="false">ROUND((O207-O208)-(N207-N208)-(O203-O202),2)</f>
        <v>0</v>
      </c>
      <c r="P209" s="73" t="n">
        <f aca="false">ROUND((P207-P208)-(O207-O208)-(P203-P202),2)</f>
        <v>0</v>
      </c>
      <c r="Q209" s="73" t="n">
        <f aca="false">ROUND((Q207-Q208)-(P207-P208)-(Q203-Q202),2)</f>
        <v>0</v>
      </c>
      <c r="R209" s="73" t="n">
        <f aca="false">ROUND((R207-R208)-(Q207-Q208)-(R203-R202),2)</f>
        <v>0</v>
      </c>
      <c r="S209" s="73" t="n">
        <f aca="false">ROUND((S207-S208)-(R207-R208)-(S203-S202),2)</f>
        <v>0</v>
      </c>
      <c r="T209" s="73" t="n">
        <f aca="false">ROUND((T207-T208)-(S207-S208)-(T203-T202),2)</f>
        <v>0</v>
      </c>
      <c r="U209" s="73" t="n">
        <f aca="false">ROUND((U207-U208)-(T207-T208)-(U203-U202),2)</f>
        <v>0</v>
      </c>
      <c r="V209" s="73" t="n">
        <f aca="false">ROUND((V207-V208)-(U207-U208)-(V203-V202),2)</f>
        <v>0</v>
      </c>
      <c r="W209" s="73" t="n">
        <f aca="false">ROUND((W207-W208)-(V207-V208)-(W203-W202),2)</f>
        <v>0</v>
      </c>
      <c r="X209" s="73" t="n">
        <f aca="false">ROUND((X207-X208)-(W207-W208)-(X203-X202),2)</f>
        <v>-0</v>
      </c>
      <c r="Y209" s="73" t="n">
        <f aca="false">ROUND((Y207-Y208)-(X207-X208)-(Y203-Y202),2)</f>
        <v>0</v>
      </c>
      <c r="Z209" s="73" t="n">
        <f aca="false">ROUND((Z207-Z208)-(Y207-Y208)-(Z203-Z202),2)</f>
        <v>0</v>
      </c>
      <c r="AA209" s="73" t="n">
        <f aca="false">ROUND((AA207-AA208)-(Z207-Z208)-(AA203-AA202),2)</f>
        <v>0</v>
      </c>
      <c r="AB209" s="73" t="n">
        <f aca="false">ROUND((AB207-AB208)-(AA207-AA208)-(AB203-AB202),2)</f>
        <v>0</v>
      </c>
    </row>
    <row r="210" customFormat="false" ht="15" hidden="false" customHeight="false" outlineLevel="0" collapsed="false">
      <c r="A210" s="28" t="s">
        <v>955</v>
      </c>
      <c r="B210" s="62" t="s">
        <v>956</v>
      </c>
      <c r="C210" s="64" t="n">
        <f aca="false">SUM(E210:P210)</f>
        <v>3463200</v>
      </c>
      <c r="D210" s="64" t="n">
        <f aca="false">SUM(Q210:AB210)</f>
        <v>3914900</v>
      </c>
      <c r="E210" s="65" t="n">
        <f aca="false">0+0+0+0+0+0+0+0+0+0+0+0+0+0+0+IF(AND(Assumptions!E$204&gt;=Account_Register!$W$22,MOD(Assumptions!E$204-Account_Register!$W$22,12)=0),E45,0)+IF(AND(Assumptions!E$204&gt;=Account_Register!$W$23,MOD(Assumptions!E$204-Account_Register!$W$23,12)=0),E46,0)+IF(AND(Assumptions!E$204&gt;=Account_Register!$W$24,MOD(Assumptions!E$204-Account_Register!$W$24,12)=0),E47,0)+IF(AND(Assumptions!E$204&gt;=Account_Register!$W$25,MOD(Assumptions!E$204-Account_Register!$W$25,12)=0),E48,0)+IF(AND(Assumptions!E$204&gt;=Account_Register!$W$26,MOD(Assumptions!E$204-Account_Register!$W$26,12)=0),E49,0)</f>
        <v>0</v>
      </c>
      <c r="F210" s="65" t="n">
        <f aca="false">0+0+F32+0+0+0+0+0+F38+0+0+0+0+0+0+IF(AND(Assumptions!F$204&gt;=Account_Register!$W$22,MOD(Assumptions!F$204-Account_Register!$W$22,12)=0),F45,0)+IF(AND(Assumptions!F$204&gt;=Account_Register!$W$23,MOD(Assumptions!F$204-Account_Register!$W$23,12)=0),F46,0)+IF(AND(Assumptions!F$204&gt;=Account_Register!$W$24,MOD(Assumptions!F$204-Account_Register!$W$24,12)=0),F47,0)+IF(AND(Assumptions!F$204&gt;=Account_Register!$W$25,MOD(Assumptions!F$204-Account_Register!$W$25,12)=0),F48,0)+IF(AND(Assumptions!F$204&gt;=Account_Register!$W$26,MOD(Assumptions!F$204-Account_Register!$W$26,12)=0),F49,0)</f>
        <v>510000</v>
      </c>
      <c r="G210" s="65" t="n">
        <f aca="false">0+0+0+0+0+0+0+G37+0+0+0+0+0+0+0+IF(AND(Assumptions!G$204&gt;=Account_Register!$W$22,MOD(Assumptions!G$204-Account_Register!$W$22,12)=0),G45,0)+IF(AND(Assumptions!G$204&gt;=Account_Register!$W$23,MOD(Assumptions!G$204-Account_Register!$W$23,12)=0),G46,0)+IF(AND(Assumptions!G$204&gt;=Account_Register!$W$24,MOD(Assumptions!G$204-Account_Register!$W$24,12)=0),G47,0)+IF(AND(Assumptions!G$204&gt;=Account_Register!$W$25,MOD(Assumptions!G$204-Account_Register!$W$25,12)=0),G48,0)+IF(AND(Assumptions!G$204&gt;=Account_Register!$W$26,MOD(Assumptions!G$204-Account_Register!$W$26,12)=0),G49,0)</f>
        <v>0</v>
      </c>
      <c r="H210" s="65" t="n">
        <f aca="false">0+0+0+H33+0+0+0+0+0+H39+0+0+0+H43+0+IF(AND(Assumptions!H$204&gt;=Account_Register!$W$22,MOD(Assumptions!H$204-Account_Register!$W$22,12)=0),H45,0)+IF(AND(Assumptions!H$204&gt;=Account_Register!$W$23,MOD(Assumptions!H$204-Account_Register!$W$23,12)=0),H46,0)+IF(AND(Assumptions!H$204&gt;=Account_Register!$W$24,MOD(Assumptions!H$204-Account_Register!$W$24,12)=0),H47,0)+IF(AND(Assumptions!H$204&gt;=Account_Register!$W$25,MOD(Assumptions!H$204-Account_Register!$W$25,12)=0),H48,0)+IF(AND(Assumptions!H$204&gt;=Account_Register!$W$26,MOD(Assumptions!H$204-Account_Register!$W$26,12)=0),H49,0)</f>
        <v>620000</v>
      </c>
      <c r="I210" s="65" t="n">
        <f aca="false">0+0+0+0+0+0+0+0+0+0+0+0+0+0+0+IF(AND(Assumptions!I$204&gt;=Account_Register!$W$22,MOD(Assumptions!I$204-Account_Register!$W$22,12)=0),I45,0)+IF(AND(Assumptions!I$204&gt;=Account_Register!$W$23,MOD(Assumptions!I$204-Account_Register!$W$23,12)=0),I46,0)+IF(AND(Assumptions!I$204&gt;=Account_Register!$W$24,MOD(Assumptions!I$204-Account_Register!$W$24,12)=0),I47,0)+IF(AND(Assumptions!I$204&gt;=Account_Register!$W$25,MOD(Assumptions!I$204-Account_Register!$W$25,12)=0),I48,0)+IF(AND(Assumptions!I$204&gt;=Account_Register!$W$26,MOD(Assumptions!I$204-Account_Register!$W$26,12)=0),I49,0)</f>
        <v>0</v>
      </c>
      <c r="J210" s="65" t="n">
        <f aca="false">J30+0+0+0+0+0+0+0+0+0+J40+0+0+0+0+IF(AND(Assumptions!J$204&gt;=Account_Register!$W$22,MOD(Assumptions!J$204-Account_Register!$W$22,12)=0),J45,0)+IF(AND(Assumptions!J$204&gt;=Account_Register!$W$23,MOD(Assumptions!J$204-Account_Register!$W$23,12)=0),J46,0)+IF(AND(Assumptions!J$204&gt;=Account_Register!$W$24,MOD(Assumptions!J$204-Account_Register!$W$24,12)=0),J47,0)+IF(AND(Assumptions!J$204&gt;=Account_Register!$W$25,MOD(Assumptions!J$204-Account_Register!$W$25,12)=0),J48,0)+IF(AND(Assumptions!J$204&gt;=Account_Register!$W$26,MOD(Assumptions!J$204-Account_Register!$W$26,12)=0),J49,0)</f>
        <v>510000</v>
      </c>
      <c r="K210" s="65" t="n">
        <f aca="false">0+0+0+0+K34+0+0+0+0+0+0+0+0+0+K44+IF(AND(Assumptions!K$204&gt;=Account_Register!$W$22,MOD(Assumptions!K$204-Account_Register!$W$22,12)=0),K45,0)+IF(AND(Assumptions!K$204&gt;=Account_Register!$W$23,MOD(Assumptions!K$204-Account_Register!$W$23,12)=0),K46,0)+IF(AND(Assumptions!K$204&gt;=Account_Register!$W$24,MOD(Assumptions!K$204-Account_Register!$W$24,12)=0),K47,0)+IF(AND(Assumptions!K$204&gt;=Account_Register!$W$25,MOD(Assumptions!K$204-Account_Register!$W$25,12)=0),K48,0)+IF(AND(Assumptions!K$204&gt;=Account_Register!$W$26,MOD(Assumptions!K$204-Account_Register!$W$26,12)=0),K49,0)</f>
        <v>560000</v>
      </c>
      <c r="L210" s="65" t="n">
        <f aca="false">0+0+0+0+0+0+0+0+0+0+0+L41+0+0+0+IF(AND(Assumptions!L$204&gt;=Account_Register!$W$22,MOD(Assumptions!L$204-Account_Register!$W$22,12)=0),L45,0)+IF(AND(Assumptions!L$204&gt;=Account_Register!$W$23,MOD(Assumptions!L$204-Account_Register!$W$23,12)=0),L46,0)+IF(AND(Assumptions!L$204&gt;=Account_Register!$W$24,MOD(Assumptions!L$204-Account_Register!$W$24,12)=0),L47,0)+IF(AND(Assumptions!L$204&gt;=Account_Register!$W$25,MOD(Assumptions!L$204-Account_Register!$W$25,12)=0),L48,0)+IF(AND(Assumptions!L$204&gt;=Account_Register!$W$26,MOD(Assumptions!L$204-Account_Register!$W$26,12)=0),L49,0)</f>
        <v>150000</v>
      </c>
      <c r="M210" s="65" t="n">
        <f aca="false">0+0+0+0+0+M35+0+0+0+0+0+0+0+0+0+IF(AND(Assumptions!M$204&gt;=Account_Register!$W$22,MOD(Assumptions!M$204-Account_Register!$W$22,12)=0),M45,0)+IF(AND(Assumptions!M$204&gt;=Account_Register!$W$23,MOD(Assumptions!M$204-Account_Register!$W$23,12)=0),M46,0)+IF(AND(Assumptions!M$204&gt;=Account_Register!$W$24,MOD(Assumptions!M$204-Account_Register!$W$24,12)=0),M47,0)+IF(AND(Assumptions!M$204&gt;=Account_Register!$W$25,MOD(Assumptions!M$204-Account_Register!$W$25,12)=0),M48,0)+IF(AND(Assumptions!M$204&gt;=Account_Register!$W$26,MOD(Assumptions!M$204-Account_Register!$W$26,12)=0),M49,0)</f>
        <v>216000</v>
      </c>
      <c r="N210" s="65" t="n">
        <f aca="false">0+N31+0+0+0+0+0+0+0+0+0+0+N42+0+0+IF(AND(Assumptions!N$204&gt;=Account_Register!$W$22,MOD(Assumptions!N$204-Account_Register!$W$22,12)=0),N45,0)+IF(AND(Assumptions!N$204&gt;=Account_Register!$W$23,MOD(Assumptions!N$204-Account_Register!$W$23,12)=0),N46,0)+IF(AND(Assumptions!N$204&gt;=Account_Register!$W$24,MOD(Assumptions!N$204-Account_Register!$W$24,12)=0),N47,0)+IF(AND(Assumptions!N$204&gt;=Account_Register!$W$25,MOD(Assumptions!N$204-Account_Register!$W$25,12)=0),N48,0)+IF(AND(Assumptions!N$204&gt;=Account_Register!$W$26,MOD(Assumptions!N$204-Account_Register!$W$26,12)=0),N49,0)</f>
        <v>417200</v>
      </c>
      <c r="O210" s="65" t="n">
        <f aca="false">0+0+0+0+0+0+O36+0+0+0+0+0+0+0+0+IF(AND(Assumptions!O$204&gt;=Account_Register!$W$22,MOD(Assumptions!O$204-Account_Register!$W$22,12)=0),O45,0)+IF(AND(Assumptions!O$204&gt;=Account_Register!$W$23,MOD(Assumptions!O$204-Account_Register!$W$23,12)=0),O46,0)+IF(AND(Assumptions!O$204&gt;=Account_Register!$W$24,MOD(Assumptions!O$204-Account_Register!$W$24,12)=0),O47,0)+IF(AND(Assumptions!O$204&gt;=Account_Register!$W$25,MOD(Assumptions!O$204-Account_Register!$W$25,12)=0),O48,0)+IF(AND(Assumptions!O$204&gt;=Account_Register!$W$26,MOD(Assumptions!O$204-Account_Register!$W$26,12)=0),O49,0)</f>
        <v>360000</v>
      </c>
      <c r="P210" s="65" t="n">
        <f aca="false">0+0+0+0+0+0+0+0+0+0+0+0+0+0+0+IF(AND(Assumptions!P$204&gt;=Account_Register!$W$22,MOD(Assumptions!P$204-Account_Register!$W$22,12)=0),P45,0)+IF(AND(Assumptions!P$204&gt;=Account_Register!$W$23,MOD(Assumptions!P$204-Account_Register!$W$23,12)=0),P46,0)+IF(AND(Assumptions!P$204&gt;=Account_Register!$W$24,MOD(Assumptions!P$204-Account_Register!$W$24,12)=0),P47,0)+IF(AND(Assumptions!P$204&gt;=Account_Register!$W$25,MOD(Assumptions!P$204-Account_Register!$W$25,12)=0),P48,0)+IF(AND(Assumptions!P$204&gt;=Account_Register!$W$26,MOD(Assumptions!P$204-Account_Register!$W$26,12)=0),P49,0)</f>
        <v>120000</v>
      </c>
      <c r="Q210" s="65" t="n">
        <f aca="false">0+0+0+0+0+0+0+0+0+0+0+0+0+0+0+IF(AND(Assumptions!Q$204&gt;=Account_Register!$W$22,MOD(Assumptions!Q$204-Account_Register!$W$22,12)=0),Q45,0)+IF(AND(Assumptions!Q$204&gt;=Account_Register!$W$23,MOD(Assumptions!Q$204-Account_Register!$W$23,12)=0),Q46,0)+IF(AND(Assumptions!Q$204&gt;=Account_Register!$W$24,MOD(Assumptions!Q$204-Account_Register!$W$24,12)=0),Q47,0)+IF(AND(Assumptions!Q$204&gt;=Account_Register!$W$25,MOD(Assumptions!Q$204-Account_Register!$W$25,12)=0),Q48,0)+IF(AND(Assumptions!Q$204&gt;=Account_Register!$W$26,MOD(Assumptions!Q$204-Account_Register!$W$26,12)=0),Q49,0)</f>
        <v>0</v>
      </c>
      <c r="R210" s="65" t="n">
        <f aca="false">0+0+R32+0+0+0+0+0+R38+0+0+0+0+0+0+IF(AND(Assumptions!R$204&gt;=Account_Register!$W$22,MOD(Assumptions!R$204-Account_Register!$W$22,12)=0),R45,0)+IF(AND(Assumptions!R$204&gt;=Account_Register!$W$23,MOD(Assumptions!R$204-Account_Register!$W$23,12)=0),R46,0)+IF(AND(Assumptions!R$204&gt;=Account_Register!$W$24,MOD(Assumptions!R$204-Account_Register!$W$24,12)=0),R47,0)+IF(AND(Assumptions!R$204&gt;=Account_Register!$W$25,MOD(Assumptions!R$204-Account_Register!$W$25,12)=0),R48,0)+IF(AND(Assumptions!R$204&gt;=Account_Register!$W$26,MOD(Assumptions!R$204-Account_Register!$W$26,12)=0),R49,0)</f>
        <v>703200</v>
      </c>
      <c r="S210" s="65" t="n">
        <f aca="false">0+0+0+0+0+0+0+S37+0+0+0+0+0+0+0+IF(AND(Assumptions!S$204&gt;=Account_Register!$W$22,MOD(Assumptions!S$204-Account_Register!$W$22,12)=0),S45,0)+IF(AND(Assumptions!S$204&gt;=Account_Register!$W$23,MOD(Assumptions!S$204-Account_Register!$W$23,12)=0),S46,0)+IF(AND(Assumptions!S$204&gt;=Account_Register!$W$24,MOD(Assumptions!S$204-Account_Register!$W$24,12)=0),S47,0)+IF(AND(Assumptions!S$204&gt;=Account_Register!$W$25,MOD(Assumptions!S$204-Account_Register!$W$25,12)=0),S48,0)+IF(AND(Assumptions!S$204&gt;=Account_Register!$W$26,MOD(Assumptions!S$204-Account_Register!$W$26,12)=0),S49,0)</f>
        <v>90000</v>
      </c>
      <c r="T210" s="65" t="n">
        <f aca="false">0+0+0+T33+0+0+0+0+0+T39+0+0+0+T43+0+IF(AND(Assumptions!T$204&gt;=Account_Register!$W$22,MOD(Assumptions!T$204-Account_Register!$W$22,12)=0),T45,0)+IF(AND(Assumptions!T$204&gt;=Account_Register!$W$23,MOD(Assumptions!T$204-Account_Register!$W$23,12)=0),T46,0)+IF(AND(Assumptions!T$204&gt;=Account_Register!$W$24,MOD(Assumptions!T$204-Account_Register!$W$24,12)=0),T47,0)+IF(AND(Assumptions!T$204&gt;=Account_Register!$W$25,MOD(Assumptions!T$204-Account_Register!$W$25,12)=0),T48,0)+IF(AND(Assumptions!T$204&gt;=Account_Register!$W$26,MOD(Assumptions!T$204-Account_Register!$W$26,12)=0),T49,0)</f>
        <v>623700</v>
      </c>
      <c r="U210" s="65" t="n">
        <f aca="false">0+0+0+0+0+0+0+0+0+0+0+0+0+0+0+IF(AND(Assumptions!U$204&gt;=Account_Register!$W$22,MOD(Assumptions!U$204-Account_Register!$W$22,12)=0),U45,0)+IF(AND(Assumptions!U$204&gt;=Account_Register!$W$23,MOD(Assumptions!U$204-Account_Register!$W$23,12)=0),U46,0)+IF(AND(Assumptions!U$204&gt;=Account_Register!$W$24,MOD(Assumptions!U$204-Account_Register!$W$24,12)=0),U47,0)+IF(AND(Assumptions!U$204&gt;=Account_Register!$W$25,MOD(Assumptions!U$204-Account_Register!$W$25,12)=0),U48,0)+IF(AND(Assumptions!U$204&gt;=Account_Register!$W$26,MOD(Assumptions!U$204-Account_Register!$W$26,12)=0),U49,0)</f>
        <v>135000</v>
      </c>
      <c r="V210" s="65" t="n">
        <f aca="false">V30+0+0+0+0+0+0+0+0+0+V40+0+0+0+0+IF(AND(Assumptions!V$204&gt;=Account_Register!$W$22,MOD(Assumptions!V$204-Account_Register!$W$22,12)=0),V45,0)+IF(AND(Assumptions!V$204&gt;=Account_Register!$W$23,MOD(Assumptions!V$204-Account_Register!$W$23,12)=0),V46,0)+IF(AND(Assumptions!V$204&gt;=Account_Register!$W$24,MOD(Assumptions!V$204-Account_Register!$W$24,12)=0),V47,0)+IF(AND(Assumptions!V$204&gt;=Account_Register!$W$25,MOD(Assumptions!V$204-Account_Register!$W$25,12)=0),V48,0)+IF(AND(Assumptions!V$204&gt;=Account_Register!$W$26,MOD(Assumptions!V$204-Account_Register!$W$26,12)=0),V49,0)</f>
        <v>586000</v>
      </c>
      <c r="W210" s="65" t="n">
        <f aca="false">0+0+0+0+W34+0+0+0+0+0+0+0+0+0+W44+IF(AND(Assumptions!W$204&gt;=Account_Register!$W$22,MOD(Assumptions!W$204-Account_Register!$W$22,12)=0),W45,0)+IF(AND(Assumptions!W$204&gt;=Account_Register!$W$23,MOD(Assumptions!W$204-Account_Register!$W$23,12)=0),W46,0)+IF(AND(Assumptions!W$204&gt;=Account_Register!$W$24,MOD(Assumptions!W$204-Account_Register!$W$24,12)=0),W47,0)+IF(AND(Assumptions!W$204&gt;=Account_Register!$W$25,MOD(Assumptions!W$204-Account_Register!$W$25,12)=0),W48,0)+IF(AND(Assumptions!W$204&gt;=Account_Register!$W$26,MOD(Assumptions!W$204-Account_Register!$W$26,12)=0),W49,0)</f>
        <v>552000</v>
      </c>
      <c r="X210" s="65" t="n">
        <f aca="false">0+0+0+0+0+0+0+0+0+0+0+X41+0+0+0+IF(AND(Assumptions!X$204&gt;=Account_Register!$W$22,MOD(Assumptions!X$204-Account_Register!$W$22,12)=0),X45,0)+IF(AND(Assumptions!X$204&gt;=Account_Register!$W$23,MOD(Assumptions!X$204-Account_Register!$W$23,12)=0),X46,0)+IF(AND(Assumptions!X$204&gt;=Account_Register!$W$24,MOD(Assumptions!X$204-Account_Register!$W$24,12)=0),X47,0)+IF(AND(Assumptions!X$204&gt;=Account_Register!$W$25,MOD(Assumptions!X$204-Account_Register!$W$25,12)=0),X48,0)+IF(AND(Assumptions!X$204&gt;=Account_Register!$W$26,MOD(Assumptions!X$204-Account_Register!$W$26,12)=0),X49,0)</f>
        <v>144000</v>
      </c>
      <c r="Y210" s="65" t="n">
        <f aca="false">0+0+0+0+0+Y35+0+0+0+0+0+0+0+0+0+IF(AND(Assumptions!Y$204&gt;=Account_Register!$W$22,MOD(Assumptions!Y$204-Account_Register!$W$22,12)=0),Y45,0)+IF(AND(Assumptions!Y$204&gt;=Account_Register!$W$23,MOD(Assumptions!Y$204-Account_Register!$W$23,12)=0),Y46,0)+IF(AND(Assumptions!Y$204&gt;=Account_Register!$W$24,MOD(Assumptions!Y$204-Account_Register!$W$24,12)=0),Y47,0)+IF(AND(Assumptions!Y$204&gt;=Account_Register!$W$25,MOD(Assumptions!Y$204-Account_Register!$W$25,12)=0),Y48,0)+IF(AND(Assumptions!Y$204&gt;=Account_Register!$W$26,MOD(Assumptions!Y$204-Account_Register!$W$26,12)=0),Y49,0)</f>
        <v>207000</v>
      </c>
      <c r="Z210" s="65" t="n">
        <f aca="false">0+Z31+0+0+0+0+0+0+0+0+0+0+Z42+0+0+IF(AND(Assumptions!Z$204&gt;=Account_Register!$W$22,MOD(Assumptions!Z$204-Account_Register!$W$22,12)=0),Z45,0)+IF(AND(Assumptions!Z$204&gt;=Account_Register!$W$23,MOD(Assumptions!Z$204-Account_Register!$W$23,12)=0),Z46,0)+IF(AND(Assumptions!Z$204&gt;=Account_Register!$W$24,MOD(Assumptions!Z$204-Account_Register!$W$24,12)=0),Z47,0)+IF(AND(Assumptions!Z$204&gt;=Account_Register!$W$25,MOD(Assumptions!Z$204-Account_Register!$W$25,12)=0),Z48,0)+IF(AND(Assumptions!Z$204&gt;=Account_Register!$W$26,MOD(Assumptions!Z$204-Account_Register!$W$26,12)=0),Z49,0)</f>
        <v>408200</v>
      </c>
      <c r="AA210" s="65" t="n">
        <f aca="false">0+0+0+0+0+0+AA36+0+0+0+0+0+0+0+0+IF(AND(Assumptions!AA$204&gt;=Account_Register!$W$22,MOD(Assumptions!AA$204-Account_Register!$W$22,12)=0),AA45,0)+IF(AND(Assumptions!AA$204&gt;=Account_Register!$W$23,MOD(Assumptions!AA$204-Account_Register!$W$23,12)=0),AA46,0)+IF(AND(Assumptions!AA$204&gt;=Account_Register!$W$24,MOD(Assumptions!AA$204-Account_Register!$W$24,12)=0),AA47,0)+IF(AND(Assumptions!AA$204&gt;=Account_Register!$W$25,MOD(Assumptions!AA$204-Account_Register!$W$25,12)=0),AA48,0)+IF(AND(Assumptions!AA$204&gt;=Account_Register!$W$26,MOD(Assumptions!AA$204-Account_Register!$W$26,12)=0),AA49,0)</f>
        <v>346200</v>
      </c>
      <c r="AB210" s="65" t="n">
        <f aca="false">0+0+0+0+0+0+0+0+0+0+0+0+0+0+0+IF(AND(Assumptions!AB$204&gt;=Account_Register!$W$22,MOD(Assumptions!AB$204-Account_Register!$W$22,12)=0),AB45,0)+IF(AND(Assumptions!AB$204&gt;=Account_Register!$W$23,MOD(Assumptions!AB$204-Account_Register!$W$23,12)=0),AB46,0)+IF(AND(Assumptions!AB$204&gt;=Account_Register!$W$24,MOD(Assumptions!AB$204-Account_Register!$W$24,12)=0),AB47,0)+IF(AND(Assumptions!AB$204&gt;=Account_Register!$W$25,MOD(Assumptions!AB$204-Account_Register!$W$25,12)=0),AB48,0)+IF(AND(Assumptions!AB$204&gt;=Account_Register!$W$26,MOD(Assumptions!AB$204-Account_Register!$W$26,12)=0),AB49,0)</f>
        <v>119600</v>
      </c>
    </row>
    <row r="211" customFormat="false" ht="15" hidden="false" customHeight="false" outlineLevel="0" collapsed="false">
      <c r="A211" s="22" t="s">
        <v>957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row>
    <row r="212" customFormat="false" ht="15" hidden="false" customHeight="false" outlineLevel="0" collapsed="false">
      <c r="A212" s="28" t="s">
        <v>479</v>
      </c>
      <c r="B212" s="62" t="s">
        <v>958</v>
      </c>
      <c r="C212" s="64" t="n">
        <f aca="false">P212</f>
        <v>0</v>
      </c>
      <c r="D212" s="64" t="n">
        <f aca="false">AB212</f>
        <v>0</v>
      </c>
      <c r="E212" s="65" t="n">
        <f aca="false">IF(E$5="A",Inputs_Actuals!E67,IF(Assumptions!E$203&gt;=Assumptions!$F$200,0,0))</f>
        <v>0</v>
      </c>
      <c r="F212" s="65" t="n">
        <f aca="false">IF(F$5="A",Inputs_Actuals!F67,IF(Assumptions!F$203&gt;=Assumptions!$F$200,0,E212))</f>
        <v>0</v>
      </c>
      <c r="G212" s="65" t="n">
        <f aca="false">IF(G$5="A",Inputs_Actuals!G67,IF(Assumptions!G$203&gt;=Assumptions!$F$200,0,F212))</f>
        <v>0</v>
      </c>
      <c r="H212" s="65" t="n">
        <f aca="false">IF(H$5="A",Inputs_Actuals!H67,IF(Assumptions!H$203&gt;=Assumptions!$F$200,0,G212))</f>
        <v>0</v>
      </c>
      <c r="I212" s="65" t="n">
        <f aca="false">IF(I$5="A",Inputs_Actuals!I67,IF(Assumptions!I$203&gt;=Assumptions!$F$200,0,H212))</f>
        <v>0</v>
      </c>
      <c r="J212" s="65" t="n">
        <f aca="false">IF(J$5="A",Inputs_Actuals!J67,IF(Assumptions!J$203&gt;=Assumptions!$F$200,0,I212))</f>
        <v>0</v>
      </c>
      <c r="K212" s="65" t="n">
        <f aca="false">IF(K$5="A",Inputs_Actuals!K67,IF(Assumptions!K$203&gt;=Assumptions!$F$200,0,J212))</f>
        <v>0</v>
      </c>
      <c r="L212" s="65" t="n">
        <f aca="false">IF(L$5="A",Inputs_Actuals!L67,IF(Assumptions!L$203&gt;=Assumptions!$F$200,0,K212))</f>
        <v>4517.8</v>
      </c>
      <c r="M212" s="65" t="n">
        <f aca="false">IF(M$5="A",Inputs_Actuals!M67,IF(Assumptions!M$203&gt;=Assumptions!$F$200,0,L212))</f>
        <v>4517.8</v>
      </c>
      <c r="N212" s="65" t="n">
        <f aca="false">IF(N$5="A",Inputs_Actuals!N67,IF(Assumptions!N$203&gt;=Assumptions!$F$200,0,M212))</f>
        <v>0</v>
      </c>
      <c r="O212" s="65" t="n">
        <f aca="false">IF(O$5="A",Inputs_Actuals!O67,IF(Assumptions!O$203&gt;=Assumptions!$F$200,0,N212))</f>
        <v>0</v>
      </c>
      <c r="P212" s="65" t="n">
        <f aca="false">IF(P$5="A",Inputs_Actuals!P67,IF(Assumptions!P$203&gt;=Assumptions!$F$200,0,O212))</f>
        <v>0</v>
      </c>
      <c r="Q212" s="65" t="n">
        <f aca="false">IF(Q$5="A",Inputs_Actuals!Q67,IF(Assumptions!Q$203&gt;=Assumptions!$F$200,0,P212))</f>
        <v>0</v>
      </c>
      <c r="R212" s="65" t="n">
        <f aca="false">IF(R$5="A",Inputs_Actuals!R67,IF(Assumptions!R$203&gt;=Assumptions!$F$200,0,Q212))</f>
        <v>0</v>
      </c>
      <c r="S212" s="65" t="n">
        <f aca="false">IF(S$5="A",Inputs_Actuals!S67,IF(Assumptions!S$203&gt;=Assumptions!$F$200,0,R212))</f>
        <v>0</v>
      </c>
      <c r="T212" s="65" t="n">
        <f aca="false">IF(T$5="A",Inputs_Actuals!T67,IF(Assumptions!T$203&gt;=Assumptions!$F$200,0,S212))</f>
        <v>0</v>
      </c>
      <c r="U212" s="65" t="n">
        <f aca="false">IF(U$5="A",Inputs_Actuals!U67,IF(Assumptions!U$203&gt;=Assumptions!$F$200,0,T212))</f>
        <v>0</v>
      </c>
      <c r="V212" s="65" t="n">
        <f aca="false">IF(V$5="A",Inputs_Actuals!V67,IF(Assumptions!V$203&gt;=Assumptions!$F$200,0,U212))</f>
        <v>0</v>
      </c>
      <c r="W212" s="65" t="n">
        <f aca="false">IF(W$5="A",Inputs_Actuals!W67,IF(Assumptions!W$203&gt;=Assumptions!$F$200,0,V212))</f>
        <v>0</v>
      </c>
      <c r="X212" s="65" t="n">
        <f aca="false">IF(X$5="A",Inputs_Actuals!X67,IF(Assumptions!X$203&gt;=Assumptions!$F$200,0,W212))</f>
        <v>0</v>
      </c>
      <c r="Y212" s="65" t="n">
        <f aca="false">IF(Y$5="A",Inputs_Actuals!Y67,IF(Assumptions!Y$203&gt;=Assumptions!$F$200,0,X212))</f>
        <v>0</v>
      </c>
      <c r="Z212" s="65" t="n">
        <f aca="false">IF(Z$5="A",Inputs_Actuals!Z67,IF(Assumptions!Z$203&gt;=Assumptions!$F$200,0,Y212))</f>
        <v>0</v>
      </c>
      <c r="AA212" s="65" t="n">
        <f aca="false">IF(AA$5="A",Inputs_Actuals!AA67,IF(Assumptions!AA$203&gt;=Assumptions!$F$200,0,Z212))</f>
        <v>0</v>
      </c>
      <c r="AB212" s="65" t="n">
        <f aca="false">IF(AB$5="A",Inputs_Actuals!AB67,IF(Assumptions!AB$203&gt;=Assumptions!$F$200,0,AA212))</f>
        <v>0</v>
      </c>
    </row>
    <row r="213" customFormat="false" ht="15" hidden="false" customHeight="false" outlineLevel="0" collapsed="false">
      <c r="A213" s="28" t="s">
        <v>959</v>
      </c>
      <c r="B213" s="62" t="s">
        <v>960</v>
      </c>
      <c r="C213" s="64" t="n">
        <f aca="false">SUM(E213:P213)</f>
        <v>4517.802</v>
      </c>
      <c r="D213" s="64" t="n">
        <f aca="false">SUM(Q213:AB213)</f>
        <v>0</v>
      </c>
      <c r="E213" s="65" t="n">
        <f aca="false">IF(E$5="A",0,IF(Assumptions!E$203=Assumptions!$F$200,Assumptions!$F$199*Assumptions!$C$140,0))</f>
        <v>0</v>
      </c>
      <c r="F213" s="65" t="n">
        <f aca="false">IF(F$5="A",0,IF(Assumptions!F$203=Assumptions!$F$200,Assumptions!$F$199*Assumptions!$C$140,0))</f>
        <v>0</v>
      </c>
      <c r="G213" s="65" t="n">
        <f aca="false">IF(G$5="A",0,IF(Assumptions!G$203=Assumptions!$F$200,Assumptions!$F$199*Assumptions!$C$140,0))</f>
        <v>0</v>
      </c>
      <c r="H213" s="65" t="n">
        <f aca="false">IF(H$5="A",0,IF(Assumptions!H$203=Assumptions!$F$200,Assumptions!$F$199*Assumptions!$C$140,0))</f>
        <v>0</v>
      </c>
      <c r="I213" s="65" t="n">
        <f aca="false">IF(I$5="A",0,IF(Assumptions!I$203=Assumptions!$F$200,Assumptions!$F$199*Assumptions!$C$140,0))</f>
        <v>0</v>
      </c>
      <c r="J213" s="65" t="n">
        <f aca="false">IF(J$5="A",0,IF(Assumptions!J$203=Assumptions!$F$200,Assumptions!$F$199*Assumptions!$C$140,0))</f>
        <v>0</v>
      </c>
      <c r="K213" s="65" t="n">
        <f aca="false">IF(K$5="A",0,IF(Assumptions!K$203=Assumptions!$F$200,Assumptions!$F$199*Assumptions!$C$140,0))</f>
        <v>0</v>
      </c>
      <c r="L213" s="65" t="n">
        <f aca="false">IF(L$5="A",0,IF(Assumptions!L$203=Assumptions!$F$200,Assumptions!$F$199*Assumptions!$C$140,0))</f>
        <v>0</v>
      </c>
      <c r="M213" s="65" t="n">
        <f aca="false">IF(M$5="A",0,IF(Assumptions!M$203=Assumptions!$F$200,Assumptions!$F$199*Assumptions!$C$140,0))</f>
        <v>0</v>
      </c>
      <c r="N213" s="65" t="n">
        <f aca="false">IF(N$5="A",0,IF(Assumptions!N$203=Assumptions!$F$200,Assumptions!$F$199*Assumptions!$C$140,0))</f>
        <v>4517.802</v>
      </c>
      <c r="O213" s="65" t="n">
        <f aca="false">IF(O$5="A",0,IF(Assumptions!O$203=Assumptions!$F$200,Assumptions!$F$199*Assumptions!$C$140,0))</f>
        <v>0</v>
      </c>
      <c r="P213" s="65" t="n">
        <f aca="false">IF(P$5="A",0,IF(Assumptions!P$203=Assumptions!$F$200,Assumptions!$F$199*Assumptions!$C$140,0))</f>
        <v>0</v>
      </c>
      <c r="Q213" s="65" t="n">
        <f aca="false">IF(Q$5="A",0,IF(Assumptions!Q$203=Assumptions!$F$200,Assumptions!$F$199*Assumptions!$C$140,0))</f>
        <v>0</v>
      </c>
      <c r="R213" s="65" t="n">
        <f aca="false">IF(R$5="A",0,IF(Assumptions!R$203=Assumptions!$F$200,Assumptions!$F$199*Assumptions!$C$140,0))</f>
        <v>0</v>
      </c>
      <c r="S213" s="65" t="n">
        <f aca="false">IF(S$5="A",0,IF(Assumptions!S$203=Assumptions!$F$200,Assumptions!$F$199*Assumptions!$C$140,0))</f>
        <v>0</v>
      </c>
      <c r="T213" s="65" t="n">
        <f aca="false">IF(T$5="A",0,IF(Assumptions!T$203=Assumptions!$F$200,Assumptions!$F$199*Assumptions!$C$140,0))</f>
        <v>0</v>
      </c>
      <c r="U213" s="65" t="n">
        <f aca="false">IF(U$5="A",0,IF(Assumptions!U$203=Assumptions!$F$200,Assumptions!$F$199*Assumptions!$C$140,0))</f>
        <v>0</v>
      </c>
      <c r="V213" s="65" t="n">
        <f aca="false">IF(V$5="A",0,IF(Assumptions!V$203=Assumptions!$F$200,Assumptions!$F$199*Assumptions!$C$140,0))</f>
        <v>0</v>
      </c>
      <c r="W213" s="65" t="n">
        <f aca="false">IF(W$5="A",0,IF(Assumptions!W$203=Assumptions!$F$200,Assumptions!$F$199*Assumptions!$C$140,0))</f>
        <v>0</v>
      </c>
      <c r="X213" s="65" t="n">
        <f aca="false">IF(X$5="A",0,IF(Assumptions!X$203=Assumptions!$F$200,Assumptions!$F$199*Assumptions!$C$140,0))</f>
        <v>0</v>
      </c>
      <c r="Y213" s="65" t="n">
        <f aca="false">IF(Y$5="A",0,IF(Assumptions!Y$203=Assumptions!$F$200,Assumptions!$F$199*Assumptions!$C$140,0))</f>
        <v>0</v>
      </c>
      <c r="Z213" s="65" t="n">
        <f aca="false">IF(Z$5="A",0,IF(Assumptions!Z$203=Assumptions!$F$200,Assumptions!$F$199*Assumptions!$C$140,0))</f>
        <v>0</v>
      </c>
      <c r="AA213" s="65" t="n">
        <f aca="false">IF(AA$5="A",0,IF(Assumptions!AA$203=Assumptions!$F$200,Assumptions!$F$199*Assumptions!$C$140,0))</f>
        <v>0</v>
      </c>
      <c r="AB213" s="65" t="n">
        <f aca="false">IF(AB$5="A",0,IF(Assumptions!AB$203=Assumptions!$F$200,Assumptions!$F$199*Assumptions!$C$140,0))</f>
        <v>0</v>
      </c>
    </row>
    <row r="214" customFormat="false" ht="15" hidden="false" customHeight="false" outlineLevel="0" collapsed="false">
      <c r="A214" s="28" t="s">
        <v>961</v>
      </c>
      <c r="B214" s="62"/>
      <c r="C214" s="64" t="n">
        <f aca="false">SUM(E214:P214)</f>
        <v>-4517.802</v>
      </c>
      <c r="D214" s="64" t="n">
        <f aca="false">SUM(Q214:AB214)</f>
        <v>0</v>
      </c>
      <c r="E214" s="73" t="n">
        <f aca="false">-E213-(E212-0)</f>
        <v>-0</v>
      </c>
      <c r="F214" s="73" t="n">
        <f aca="false">-F213-(F212-E212)</f>
        <v>-0</v>
      </c>
      <c r="G214" s="73" t="n">
        <f aca="false">-G213-(G212-F212)</f>
        <v>-0</v>
      </c>
      <c r="H214" s="73" t="n">
        <f aca="false">-H213-(H212-G212)</f>
        <v>-0</v>
      </c>
      <c r="I214" s="73" t="n">
        <f aca="false">-I213-(I212-H212)</f>
        <v>-0</v>
      </c>
      <c r="J214" s="73" t="n">
        <f aca="false">-J213-(J212-I212)</f>
        <v>-0</v>
      </c>
      <c r="K214" s="73" t="n">
        <f aca="false">-K213-(K212-J212)</f>
        <v>-0</v>
      </c>
      <c r="L214" s="73" t="n">
        <f aca="false">-L213-(L212-K212)</f>
        <v>-4517.8</v>
      </c>
      <c r="M214" s="73" t="n">
        <f aca="false">-M213-(M212-L212)</f>
        <v>-0</v>
      </c>
      <c r="N214" s="73" t="n">
        <f aca="false">-N213-(N212-M212)</f>
        <v>-0.00199999999949796</v>
      </c>
      <c r="O214" s="73" t="n">
        <f aca="false">-O213-(O212-N212)</f>
        <v>-0</v>
      </c>
      <c r="P214" s="73" t="n">
        <f aca="false">-P213-(P212-O212)</f>
        <v>-0</v>
      </c>
      <c r="Q214" s="73" t="n">
        <f aca="false">-Q213-(Q212-P212)</f>
        <v>-0</v>
      </c>
      <c r="R214" s="73" t="n">
        <f aca="false">-R213-(R212-Q212)</f>
        <v>-0</v>
      </c>
      <c r="S214" s="73" t="n">
        <f aca="false">-S213-(S212-R212)</f>
        <v>-0</v>
      </c>
      <c r="T214" s="73" t="n">
        <f aca="false">-T213-(T212-S212)</f>
        <v>-0</v>
      </c>
      <c r="U214" s="73" t="n">
        <f aca="false">-U213-(U212-T212)</f>
        <v>-0</v>
      </c>
      <c r="V214" s="73" t="n">
        <f aca="false">-V213-(V212-U212)</f>
        <v>-0</v>
      </c>
      <c r="W214" s="73" t="n">
        <f aca="false">-W213-(W212-V212)</f>
        <v>-0</v>
      </c>
      <c r="X214" s="73" t="n">
        <f aca="false">-X213-(X212-W212)</f>
        <v>-0</v>
      </c>
      <c r="Y214" s="73" t="n">
        <f aca="false">-Y213-(Y212-X212)</f>
        <v>-0</v>
      </c>
      <c r="Z214" s="73" t="n">
        <f aca="false">-Z213-(Z212-Y212)</f>
        <v>-0</v>
      </c>
      <c r="AA214" s="73" t="n">
        <f aca="false">-AA213-(AA212-Z212)</f>
        <v>-0</v>
      </c>
      <c r="AB214" s="73" t="n">
        <f aca="false">-AB213-(AB212-AA212)</f>
        <v>-0</v>
      </c>
    </row>
    <row r="215" customFormat="false" ht="15" hidden="false" customHeight="false" outlineLevel="0" collapsed="false">
      <c r="A215" s="58" t="s">
        <v>962</v>
      </c>
      <c r="B215" s="59" t="s">
        <v>963</v>
      </c>
      <c r="C215" s="60" t="n">
        <f aca="false">SUM(E215:P215)</f>
        <v>3128201.11722054</v>
      </c>
      <c r="D215" s="60" t="n">
        <f aca="false">SUM(Q215:AB215)</f>
        <v>4275827.34556164</v>
      </c>
      <c r="E215" s="60" t="n">
        <f aca="false">E202+E214</f>
        <v>239324.28</v>
      </c>
      <c r="F215" s="60" t="n">
        <f aca="false">F202+F214</f>
        <v>209055.46</v>
      </c>
      <c r="G215" s="60" t="n">
        <f aca="false">G202+G214</f>
        <v>239938.62</v>
      </c>
      <c r="H215" s="60" t="n">
        <f aca="false">H202+H214</f>
        <v>211228.52</v>
      </c>
      <c r="I215" s="60" t="n">
        <f aca="false">I202+I214</f>
        <v>239841.75</v>
      </c>
      <c r="J215" s="60" t="n">
        <f aca="false">J202+J214</f>
        <v>274100.03</v>
      </c>
      <c r="K215" s="60" t="n">
        <f aca="false">K202+K214</f>
        <v>270466.45</v>
      </c>
      <c r="L215" s="60" t="n">
        <f aca="false">L202+L214</f>
        <v>279247.18</v>
      </c>
      <c r="M215" s="60" t="n">
        <f aca="false">M202+M214</f>
        <v>362303.430753</v>
      </c>
      <c r="N215" s="60" t="n">
        <f aca="false">N202+N214</f>
        <v>255208.331864375</v>
      </c>
      <c r="O215" s="60" t="n">
        <f aca="false">O202+O214</f>
        <v>268076.970864388</v>
      </c>
      <c r="P215" s="60" t="n">
        <f aca="false">P202+P214</f>
        <v>279410.093738776</v>
      </c>
      <c r="Q215" s="60" t="n">
        <f aca="false">Q202+Q214</f>
        <v>306181.227278516</v>
      </c>
      <c r="R215" s="60" t="n">
        <f aca="false">R202+R214</f>
        <v>294303.000697124</v>
      </c>
      <c r="S215" s="60" t="n">
        <f aca="false">S202+S214</f>
        <v>409486.277062036</v>
      </c>
      <c r="T215" s="60" t="n">
        <f aca="false">T202+T214</f>
        <v>305951.804366362</v>
      </c>
      <c r="U215" s="60" t="n">
        <f aca="false">U202+U214</f>
        <v>318886.098430946</v>
      </c>
      <c r="V215" s="60" t="n">
        <f aca="false">V202+V214</f>
        <v>442008.841108146</v>
      </c>
      <c r="W215" s="60" t="n">
        <f aca="false">W202+W214</f>
        <v>324437.017302965</v>
      </c>
      <c r="X215" s="60" t="n">
        <f aca="false">X202+X214</f>
        <v>341952.280171191</v>
      </c>
      <c r="Y215" s="60" t="n">
        <f aca="false">Y202+Y214</f>
        <v>389418.79751787</v>
      </c>
      <c r="Z215" s="60" t="n">
        <f aca="false">Z202+Z214</f>
        <v>406427.874474742</v>
      </c>
      <c r="AA215" s="60" t="n">
        <f aca="false">AA202+AA214</f>
        <v>385023.776156571</v>
      </c>
      <c r="AB215" s="60" t="n">
        <f aca="false">AB202+AB214</f>
        <v>351750.350995172</v>
      </c>
    </row>
    <row r="216" customFormat="false" ht="15" hidden="false" customHeight="false" outlineLevel="0" collapsed="false">
      <c r="A216" s="22" t="s">
        <v>964</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row>
    <row r="217" customFormat="false" ht="15" hidden="false" customHeight="false" outlineLevel="0" collapsed="false">
      <c r="A217" s="28" t="s">
        <v>575</v>
      </c>
      <c r="B217" s="62" t="s">
        <v>965</v>
      </c>
      <c r="C217" s="67" t="n">
        <f aca="false">SUM(E217:P217)</f>
        <v>164108.400853379</v>
      </c>
      <c r="D217" s="67" t="n">
        <f aca="false">SUM(Q217:AB217)</f>
        <v>250206.733556456</v>
      </c>
      <c r="E217" s="68" t="n">
        <f aca="false">IF(E$5="A",Inputs_Actuals!E75,SUMPRODUCT(E9:E28,Account_Register!$Y$7:$Y$26)/(Assumptions!$C$116*Assumptions!E$215))</f>
        <v>11589.7</v>
      </c>
      <c r="F217" s="68" t="n">
        <f aca="false">IF(F$5="A",Inputs_Actuals!F75,SUMPRODUCT(F9:F28,Account_Register!$Y$7:$Y$26)/(Assumptions!$C$116*Assumptions!F$215))</f>
        <v>11899.1</v>
      </c>
      <c r="G217" s="68" t="n">
        <f aca="false">IF(G$5="A",Inputs_Actuals!G75,SUMPRODUCT(G9:G28,Account_Register!$Y$7:$Y$26)/(Assumptions!$C$116*Assumptions!G$215))</f>
        <v>11599.8</v>
      </c>
      <c r="H217" s="68" t="n">
        <f aca="false">IF(H$5="A",Inputs_Actuals!H75,SUMPRODUCT(H9:H28,Account_Register!$Y$7:$Y$26)/(Assumptions!$C$116*Assumptions!H$215))</f>
        <v>12705.5</v>
      </c>
      <c r="I217" s="68" t="n">
        <f aca="false">IF(I$5="A",Inputs_Actuals!I75,SUMPRODUCT(I9:I28,Account_Register!$Y$7:$Y$26)/(Assumptions!$C$116*Assumptions!I$215))</f>
        <v>12837</v>
      </c>
      <c r="J217" s="68" t="n">
        <f aca="false">IF(J$5="A",Inputs_Actuals!J75,SUMPRODUCT(J9:J28,Account_Register!$Y$7:$Y$26)/(Assumptions!$C$116*Assumptions!J$215))</f>
        <v>13328.9</v>
      </c>
      <c r="K217" s="68" t="n">
        <f aca="false">IF(K$5="A",Inputs_Actuals!K75,SUMPRODUCT(K9:K28,Account_Register!$Y$7:$Y$26)/(Assumptions!$C$116*Assumptions!K$215))</f>
        <v>14412.8</v>
      </c>
      <c r="L217" s="68" t="n">
        <f aca="false">IF(L$5="A",Inputs_Actuals!L75,SUMPRODUCT(L9:L28,Account_Register!$Y$7:$Y$26)/(Assumptions!$C$116*Assumptions!L$215))</f>
        <v>14381.4</v>
      </c>
      <c r="M217" s="68" t="n">
        <f aca="false">IF(M$5="A",Inputs_Actuals!M75,SUMPRODUCT(M9:M28,Account_Register!$Y$7:$Y$26)/(Assumptions!$C$116*Assumptions!M$215))</f>
        <v>14660.7335096613</v>
      </c>
      <c r="N217" s="68" t="n">
        <f aca="false">IF(N$5="A",Inputs_Actuals!N75,SUMPRODUCT(N9:N28,Account_Register!$Y$7:$Y$26)/(Assumptions!$C$116*Assumptions!N$215))</f>
        <v>14758.9103379178</v>
      </c>
      <c r="O217" s="68" t="n">
        <f aca="false">IF(O$5="A",Inputs_Actuals!O75,SUMPRODUCT(O9:O28,Account_Register!$Y$7:$Y$26)/(Assumptions!$C$116*Assumptions!O$215))</f>
        <v>15587.0186968521</v>
      </c>
      <c r="P217" s="68" t="n">
        <f aca="false">IF(P$5="A",Inputs_Actuals!P75,SUMPRODUCT(P9:P28,Account_Register!$Y$7:$Y$26)/(Assumptions!$C$116*Assumptions!P$215))</f>
        <v>16347.5383089474</v>
      </c>
      <c r="Q217" s="68" t="n">
        <f aca="false">IF(Q$5="A",Inputs_Actuals!Q75,SUMPRODUCT(Q9:Q28,Account_Register!$Y$7:$Y$26)/(Assumptions!$C$116*Assumptions!Q$215))</f>
        <v>18566.5123254342</v>
      </c>
      <c r="R217" s="68" t="n">
        <f aca="false">IF(R$5="A",Inputs_Actuals!R75,SUMPRODUCT(R9:R28,Account_Register!$Y$7:$Y$26)/(Assumptions!$C$116*Assumptions!R$215))</f>
        <v>19145.0273511108</v>
      </c>
      <c r="S217" s="68" t="n">
        <f aca="false">IF(S$5="A",Inputs_Actuals!S75,SUMPRODUCT(S9:S28,Account_Register!$Y$7:$Y$26)/(Assumptions!$C$116*Assumptions!S$215))</f>
        <v>19698.0422940376</v>
      </c>
      <c r="T217" s="68" t="n">
        <f aca="false">IF(T$5="A",Inputs_Actuals!T75,SUMPRODUCT(T9:T28,Account_Register!$Y$7:$Y$26)/(Assumptions!$C$116*Assumptions!T$215))</f>
        <v>19813.5982822453</v>
      </c>
      <c r="U217" s="68" t="n">
        <f aca="false">IF(U$5="A",Inputs_Actuals!U75,SUMPRODUCT(U9:U28,Account_Register!$Y$7:$Y$26)/(Assumptions!$C$116*Assumptions!U$215))</f>
        <v>20653.6112987687</v>
      </c>
      <c r="V217" s="68" t="n">
        <f aca="false">IF(V$5="A",Inputs_Actuals!V75,SUMPRODUCT(V9:V28,Account_Register!$Y$7:$Y$26)/(Assumptions!$C$116*Assumptions!V$215))</f>
        <v>20701.9457170679</v>
      </c>
      <c r="W217" s="68" t="n">
        <f aca="false">IF(W$5="A",Inputs_Actuals!W75,SUMPRODUCT(W9:W28,Account_Register!$Y$7:$Y$26)/(Assumptions!$C$116*Assumptions!W$215))</f>
        <v>21009.5612757171</v>
      </c>
      <c r="X217" s="68" t="n">
        <f aca="false">IF(X$5="A",Inputs_Actuals!X75,SUMPRODUCT(X9:X28,Account_Register!$Y$7:$Y$26)/(Assumptions!$C$116*Assumptions!X$215))</f>
        <v>21430.5681505168</v>
      </c>
      <c r="Y217" s="68" t="n">
        <f aca="false">IF(Y$5="A",Inputs_Actuals!Y75,SUMPRODUCT(Y9:Y28,Account_Register!$Y$7:$Y$26)/(Assumptions!$C$116*Assumptions!Y$215))</f>
        <v>21869.6068667359</v>
      </c>
      <c r="Z217" s="68" t="n">
        <f aca="false">IF(Z$5="A",Inputs_Actuals!Z75,SUMPRODUCT(Z9:Z28,Account_Register!$Y$7:$Y$26)/(Assumptions!$C$116*Assumptions!Z$215))</f>
        <v>22088.814580623</v>
      </c>
      <c r="AA217" s="68" t="n">
        <f aca="false">IF(AA$5="A",Inputs_Actuals!AA75,SUMPRODUCT(AA9:AA28,Account_Register!$Y$7:$Y$26)/(Assumptions!$C$116*Assumptions!AA$215))</f>
        <v>22393.5321298505</v>
      </c>
      <c r="AB217" s="68" t="n">
        <f aca="false">IF(AB$5="A",Inputs_Actuals!AB75,SUMPRODUCT(AB9:AB28,Account_Register!$Y$7:$Y$26)/(Assumptions!$C$116*Assumptions!AB$215))</f>
        <v>22835.9132843482</v>
      </c>
    </row>
    <row r="218" customFormat="false" ht="15" hidden="false" customHeight="false" outlineLevel="0" collapsed="false">
      <c r="A218" s="28" t="s">
        <v>576</v>
      </c>
      <c r="B218" s="62" t="s">
        <v>965</v>
      </c>
      <c r="C218" s="67" t="n">
        <f aca="false">SUM(E218:P218)</f>
        <v>160038.510851566</v>
      </c>
      <c r="D218" s="67" t="n">
        <f aca="false">SUM(Q218:AB218)</f>
        <v>246121.50893593</v>
      </c>
      <c r="E218" s="68" t="n">
        <f aca="false">IF(E$5="A",Inputs_Actuals!E76,SUMPRODUCT(E9:E28,Account_Register!$Z$7:$Z$26)/(Assumptions!$C$117*Assumptions!E$215))</f>
        <v>11404.9</v>
      </c>
      <c r="F218" s="68" t="n">
        <f aca="false">IF(F$5="A",Inputs_Actuals!F76,SUMPRODUCT(F9:F28,Account_Register!$Z$7:$Z$26)/(Assumptions!$C$117*Assumptions!F$215))</f>
        <v>11811.6</v>
      </c>
      <c r="G218" s="68" t="n">
        <f aca="false">IF(G$5="A",Inputs_Actuals!G76,SUMPRODUCT(G9:G28,Account_Register!$Z$7:$Z$26)/(Assumptions!$C$117*Assumptions!G$215))</f>
        <v>11307.7</v>
      </c>
      <c r="H218" s="68" t="n">
        <f aca="false">IF(H$5="A",Inputs_Actuals!H76,SUMPRODUCT(H9:H28,Account_Register!$Z$7:$Z$26)/(Assumptions!$C$117*Assumptions!H$215))</f>
        <v>11687</v>
      </c>
      <c r="I218" s="68" t="n">
        <f aca="false">IF(I$5="A",Inputs_Actuals!I76,SUMPRODUCT(I9:I28,Account_Register!$Z$7:$Z$26)/(Assumptions!$C$117*Assumptions!I$215))</f>
        <v>11836.6</v>
      </c>
      <c r="J218" s="68" t="n">
        <f aca="false">IF(J$5="A",Inputs_Actuals!J76,SUMPRODUCT(J9:J28,Account_Register!$Z$7:$Z$26)/(Assumptions!$C$117*Assumptions!J$215))</f>
        <v>12143.2</v>
      </c>
      <c r="K218" s="68" t="n">
        <f aca="false">IF(K$5="A",Inputs_Actuals!K76,SUMPRODUCT(K9:K28,Account_Register!$Z$7:$Z$26)/(Assumptions!$C$117*Assumptions!K$215))</f>
        <v>14444.4</v>
      </c>
      <c r="L218" s="68" t="n">
        <f aca="false">IF(L$5="A",Inputs_Actuals!L76,SUMPRODUCT(L9:L28,Account_Register!$Z$7:$Z$26)/(Assumptions!$C$117*Assumptions!L$215))</f>
        <v>14432.9</v>
      </c>
      <c r="M218" s="68" t="n">
        <f aca="false">IF(M$5="A",Inputs_Actuals!M76,SUMPRODUCT(M9:M28,Account_Register!$Z$7:$Z$26)/(Assumptions!$C$117*Assumptions!M$215))</f>
        <v>14580.9280485712</v>
      </c>
      <c r="N218" s="68" t="n">
        <f aca="false">IF(N$5="A",Inputs_Actuals!N76,SUMPRODUCT(N9:N28,Account_Register!$Z$7:$Z$26)/(Assumptions!$C$117*Assumptions!N$215))</f>
        <v>14823.6119384788</v>
      </c>
      <c r="O218" s="68" t="n">
        <f aca="false">IF(O$5="A",Inputs_Actuals!O76,SUMPRODUCT(O9:O28,Account_Register!$Z$7:$Z$26)/(Assumptions!$C$117*Assumptions!O$215))</f>
        <v>15562.7876362137</v>
      </c>
      <c r="P218" s="68" t="n">
        <f aca="false">IF(P$5="A",Inputs_Actuals!P76,SUMPRODUCT(P9:P28,Account_Register!$Z$7:$Z$26)/(Assumptions!$C$117*Assumptions!P$215))</f>
        <v>16002.8832283021</v>
      </c>
      <c r="Q218" s="68" t="n">
        <f aca="false">IF(Q$5="A",Inputs_Actuals!Q76,SUMPRODUCT(Q9:Q28,Account_Register!$Z$7:$Z$26)/(Assumptions!$C$117*Assumptions!Q$215))</f>
        <v>18159.1705610818</v>
      </c>
      <c r="R218" s="68" t="n">
        <f aca="false">IF(R$5="A",Inputs_Actuals!R76,SUMPRODUCT(R9:R28,Account_Register!$Z$7:$Z$26)/(Assumptions!$C$117*Assumptions!R$215))</f>
        <v>18747.6526130786</v>
      </c>
      <c r="S218" s="68" t="n">
        <f aca="false">IF(S$5="A",Inputs_Actuals!S76,SUMPRODUCT(S9:S28,Account_Register!$Z$7:$Z$26)/(Assumptions!$C$117*Assumptions!S$215))</f>
        <v>19624.8636954375</v>
      </c>
      <c r="T218" s="68" t="n">
        <f aca="false">IF(T$5="A",Inputs_Actuals!T76,SUMPRODUCT(T9:T28,Account_Register!$Z$7:$Z$26)/(Assumptions!$C$117*Assumptions!T$215))</f>
        <v>19628.3204169586</v>
      </c>
      <c r="U218" s="68" t="n">
        <f aca="false">IF(U$5="A",Inputs_Actuals!U76,SUMPRODUCT(U9:U28,Account_Register!$Z$7:$Z$26)/(Assumptions!$C$117*Assumptions!U$215))</f>
        <v>20355.2453434344</v>
      </c>
      <c r="V218" s="68" t="n">
        <f aca="false">IF(V$5="A",Inputs_Actuals!V76,SUMPRODUCT(V9:V28,Account_Register!$Z$7:$Z$26)/(Assumptions!$C$117*Assumptions!V$215))</f>
        <v>20511.7353790882</v>
      </c>
      <c r="W218" s="68" t="n">
        <f aca="false">IF(W$5="A",Inputs_Actuals!W76,SUMPRODUCT(W9:W28,Account_Register!$Z$7:$Z$26)/(Assumptions!$C$117*Assumptions!W$215))</f>
        <v>20661.5332774939</v>
      </c>
      <c r="X218" s="68" t="n">
        <f aca="false">IF(X$5="A",Inputs_Actuals!X76,SUMPRODUCT(X9:X28,Account_Register!$Z$7:$Z$26)/(Assumptions!$C$117*Assumptions!X$215))</f>
        <v>21025.7607073396</v>
      </c>
      <c r="Y218" s="68" t="n">
        <f aca="false">IF(Y$5="A",Inputs_Actuals!Y76,SUMPRODUCT(Y9:Y28,Account_Register!$Z$7:$Z$26)/(Assumptions!$C$117*Assumptions!Y$215))</f>
        <v>21287.7594171945</v>
      </c>
      <c r="Z218" s="68" t="n">
        <f aca="false">IF(Z$5="A",Inputs_Actuals!Z76,SUMPRODUCT(Z9:Z28,Account_Register!$Z$7:$Z$26)/(Assumptions!$C$117*Assumptions!Z$215))</f>
        <v>21663.204318555</v>
      </c>
      <c r="AA218" s="68" t="n">
        <f aca="false">IF(AA$5="A",Inputs_Actuals!AA76,SUMPRODUCT(AA9:AA28,Account_Register!$Z$7:$Z$26)/(Assumptions!$C$117*Assumptions!AA$215))</f>
        <v>21993.8049639448</v>
      </c>
      <c r="AB218" s="68" t="n">
        <f aca="false">IF(AB$5="A",Inputs_Actuals!AB76,SUMPRODUCT(AB9:AB28,Account_Register!$Z$7:$Z$26)/(Assumptions!$C$117*Assumptions!AB$215))</f>
        <v>22462.458242323</v>
      </c>
    </row>
    <row r="219" customFormat="false" ht="15" hidden="false" customHeight="false" outlineLevel="0" collapsed="false">
      <c r="A219" s="28" t="s">
        <v>577</v>
      </c>
      <c r="B219" s="62" t="s">
        <v>965</v>
      </c>
      <c r="C219" s="67" t="n">
        <f aca="false">SUM(E219:P219)</f>
        <v>52016.3206297118</v>
      </c>
      <c r="D219" s="67" t="n">
        <f aca="false">SUM(Q219:AB219)</f>
        <v>79734.5057165252</v>
      </c>
      <c r="E219" s="68" t="n">
        <f aca="false">IF(E$5="A",Inputs_Actuals!E77,SUMPRODUCT(E9:E28,Account_Register!$AA$7:$AA$26)/(Assumptions!$C$118*Assumptions!E$215))</f>
        <v>3907</v>
      </c>
      <c r="F219" s="68" t="n">
        <f aca="false">IF(F$5="A",Inputs_Actuals!F77,SUMPRODUCT(F9:F28,Account_Register!$AA$7:$AA$26)/(Assumptions!$C$118*Assumptions!F$215))</f>
        <v>4049.6</v>
      </c>
      <c r="G219" s="68" t="n">
        <f aca="false">IF(G$5="A",Inputs_Actuals!G77,SUMPRODUCT(G9:G28,Account_Register!$AA$7:$AA$26)/(Assumptions!$C$118*Assumptions!G$215))</f>
        <v>3534.8</v>
      </c>
      <c r="H219" s="68" t="n">
        <f aca="false">IF(H$5="A",Inputs_Actuals!H77,SUMPRODUCT(H9:H28,Account_Register!$AA$7:$AA$26)/(Assumptions!$C$118*Assumptions!H$215))</f>
        <v>3845.5</v>
      </c>
      <c r="I219" s="68" t="n">
        <f aca="false">IF(I$5="A",Inputs_Actuals!I77,SUMPRODUCT(I9:I28,Account_Register!$AA$7:$AA$26)/(Assumptions!$C$118*Assumptions!I$215))</f>
        <v>3884.9</v>
      </c>
      <c r="J219" s="68" t="n">
        <f aca="false">IF(J$5="A",Inputs_Actuals!J77,SUMPRODUCT(J9:J28,Account_Register!$AA$7:$AA$26)/(Assumptions!$C$118*Assumptions!J$215))</f>
        <v>4048.9</v>
      </c>
      <c r="K219" s="68" t="n">
        <f aca="false">IF(K$5="A",Inputs_Actuals!K77,SUMPRODUCT(K9:K28,Account_Register!$AA$7:$AA$26)/(Assumptions!$C$118*Assumptions!K$215))</f>
        <v>4571.1</v>
      </c>
      <c r="L219" s="68" t="n">
        <f aca="false">IF(L$5="A",Inputs_Actuals!L77,SUMPRODUCT(L9:L28,Account_Register!$AA$7:$AA$26)/(Assumptions!$C$118*Assumptions!L$215))</f>
        <v>4624.8</v>
      </c>
      <c r="M219" s="68" t="n">
        <f aca="false">IF(M$5="A",Inputs_Actuals!M77,SUMPRODUCT(M9:M28,Account_Register!$AA$7:$AA$26)/(Assumptions!$C$118*Assumptions!M$215))</f>
        <v>4687.84431641386</v>
      </c>
      <c r="N219" s="68" t="n">
        <f aca="false">IF(N$5="A",Inputs_Actuals!N77,SUMPRODUCT(N9:N28,Account_Register!$AA$7:$AA$26)/(Assumptions!$C$118*Assumptions!N$215))</f>
        <v>4732.58899004975</v>
      </c>
      <c r="O219" s="68" t="n">
        <f aca="false">IF(O$5="A",Inputs_Actuals!O77,SUMPRODUCT(O9:O28,Account_Register!$AA$7:$AA$26)/(Assumptions!$C$118*Assumptions!O$215))</f>
        <v>4946.21705809055</v>
      </c>
      <c r="P219" s="68" t="n">
        <f aca="false">IF(P$5="A",Inputs_Actuals!P77,SUMPRODUCT(P9:P28,Account_Register!$AA$7:$AA$26)/(Assumptions!$C$118*Assumptions!P$215))</f>
        <v>5183.07026515765</v>
      </c>
      <c r="Q219" s="68" t="n">
        <f aca="false">IF(Q$5="A",Inputs_Actuals!Q77,SUMPRODUCT(Q9:Q28,Account_Register!$AA$7:$AA$26)/(Assumptions!$C$118*Assumptions!Q$215))</f>
        <v>5885.92118168659</v>
      </c>
      <c r="R219" s="68" t="n">
        <f aca="false">IF(R$5="A",Inputs_Actuals!R77,SUMPRODUCT(R9:R28,Account_Register!$AA$7:$AA$26)/(Assumptions!$C$118*Assumptions!R$215))</f>
        <v>6069.94737893352</v>
      </c>
      <c r="S219" s="68" t="n">
        <f aca="false">IF(S$5="A",Inputs_Actuals!S77,SUMPRODUCT(S9:S28,Account_Register!$AA$7:$AA$26)/(Assumptions!$C$118*Assumptions!S$215))</f>
        <v>6276.97303074033</v>
      </c>
      <c r="T219" s="68" t="n">
        <f aca="false">IF(T$5="A",Inputs_Actuals!T77,SUMPRODUCT(T9:T28,Account_Register!$AA$7:$AA$26)/(Assumptions!$C$118*Assumptions!T$215))</f>
        <v>6306.9179445412</v>
      </c>
      <c r="U219" s="68" t="n">
        <f aca="false">IF(U$5="A",Inputs_Actuals!U77,SUMPRODUCT(U9:U28,Account_Register!$AA$7:$AA$26)/(Assumptions!$C$118*Assumptions!U$215))</f>
        <v>6606.49332436516</v>
      </c>
      <c r="V219" s="68" t="n">
        <f aca="false">IF(V$5="A",Inputs_Actuals!V77,SUMPRODUCT(V9:V28,Account_Register!$AA$7:$AA$26)/(Assumptions!$C$118*Assumptions!V$215))</f>
        <v>6654.01757288055</v>
      </c>
      <c r="W219" s="68" t="n">
        <f aca="false">IF(W$5="A",Inputs_Actuals!W77,SUMPRODUCT(W9:W28,Account_Register!$AA$7:$AA$26)/(Assumptions!$C$118*Assumptions!W$215))</f>
        <v>6735.44481458528</v>
      </c>
      <c r="X219" s="68" t="n">
        <f aca="false">IF(X$5="A",Inputs_Actuals!X77,SUMPRODUCT(X9:X28,Account_Register!$AA$7:$AA$26)/(Assumptions!$C$118*Assumptions!X$215))</f>
        <v>6839.43736493052</v>
      </c>
      <c r="Y219" s="68" t="n">
        <f aca="false">IF(Y$5="A",Inputs_Actuals!Y77,SUMPRODUCT(Y9:Y28,Account_Register!$AA$7:$AA$26)/(Assumptions!$C$118*Assumptions!Y$215))</f>
        <v>6944.51279324801</v>
      </c>
      <c r="Z219" s="68" t="n">
        <f aca="false">IF(Z$5="A",Inputs_Actuals!Z77,SUMPRODUCT(Z9:Z28,Account_Register!$AA$7:$AA$26)/(Assumptions!$C$118*Assumptions!Z$215))</f>
        <v>7027.2992791757</v>
      </c>
      <c r="AA219" s="68" t="n">
        <f aca="false">IF(AA$5="A",Inputs_Actuals!AA77,SUMPRODUCT(AA9:AA28,Account_Register!$AA$7:$AA$26)/(Assumptions!$C$118*Assumptions!AA$215))</f>
        <v>7122.50310825382</v>
      </c>
      <c r="AB219" s="68" t="n">
        <f aca="false">IF(AB$5="A",Inputs_Actuals!AB77,SUMPRODUCT(AB9:AB28,Account_Register!$AA$7:$AA$26)/(Assumptions!$C$118*Assumptions!AB$215))</f>
        <v>7265.03792318452</v>
      </c>
    </row>
    <row r="220" customFormat="false" ht="15" hidden="false" customHeight="false" outlineLevel="0" collapsed="false">
      <c r="A220" s="28" t="s">
        <v>966</v>
      </c>
      <c r="B220" s="62" t="s">
        <v>967</v>
      </c>
      <c r="C220" s="66" t="n">
        <f aca="false">P220</f>
        <v>1.18345507105218</v>
      </c>
      <c r="D220" s="66" t="n">
        <f aca="false">AB220</f>
        <v>1.17262202567779</v>
      </c>
      <c r="E220" s="63" t="n">
        <f aca="false">IF(SUM(History!$C$55:$C$69)=0,0,SUMPRODUCT((History!$C$55:$C$69&gt;0)*(E9:E23))/SUM(History!$C$55:$C$69))</f>
        <v>1.15057223706399</v>
      </c>
      <c r="F220" s="63" t="n">
        <f aca="false">IF(SUM(History!$D$55:$D$69)=0,0,SUMPRODUCT((History!$D$55:$D$69&gt;0)*(F9:F23))/SUM(History!$D$55:$D$69))</f>
        <v>1.21987048863644</v>
      </c>
      <c r="G220" s="63" t="n">
        <f aca="false">IF(SUM(History!$E$55:$E$69)=0,0,SUMPRODUCT((History!$E$55:$E$69&gt;0)*(G9:G23))/SUM(History!$E$55:$E$69))</f>
        <v>1.09499115140934</v>
      </c>
      <c r="H220" s="63" t="n">
        <f aca="false">IF(SUM(History!$F$55:$F$69)=0,0,SUMPRODUCT((History!$F$55:$F$69&gt;0)*(H9:H23))/SUM(History!$F$55:$F$69))</f>
        <v>1.15494189162882</v>
      </c>
      <c r="I220" s="63" t="n">
        <f aca="false">IF(SUM(History!$G$55:$G$69)=0,0,SUMPRODUCT((History!$G$55:$G$69&gt;0)*(I9:I23))/SUM(History!$G$55:$G$69))</f>
        <v>1.11829514994654</v>
      </c>
      <c r="J220" s="63" t="n">
        <f aca="false">IF(SUM(History!$H$55:$H$69)=0,0,SUMPRODUCT((History!$H$55:$H$69&gt;0)*(J9:J23))/SUM(History!$H$55:$H$69))</f>
        <v>1.1166679426632</v>
      </c>
      <c r="K220" s="63" t="n">
        <f aca="false">IF(SUM(History!$I$55:$I$69)=0,0,SUMPRODUCT((History!$I$55:$I$69&gt;0)*(K9:K23))/SUM(History!$I$55:$I$69))</f>
        <v>1.17947256427308</v>
      </c>
      <c r="L220" s="63" t="n">
        <f aca="false">IF(SUM(History!$J$55:$J$69)=0,0,SUMPRODUCT((History!$J$55:$J$69&gt;0)*(L9:L23))/SUM(History!$J$55:$J$69))</f>
        <v>1.16772949666294</v>
      </c>
      <c r="M220" s="63" t="n">
        <f aca="false">IF(SUM(History!$K$55:$K$69)=0,0,SUMPRODUCT((History!$K$55:$K$69&gt;0)*(M9:M23))/SUM(History!$K$55:$K$69))</f>
        <v>1.16830421619071</v>
      </c>
      <c r="N220" s="63" t="n">
        <f aca="false">IF(SUM(History!$L$55:$L$69)=0,0,SUMPRODUCT((History!$L$55:$L$69&gt;0)*(N9:N23))/SUM(History!$L$55:$L$69))</f>
        <v>1.16053988967478</v>
      </c>
      <c r="O220" s="63" t="n">
        <f aca="false">IF(SUM(History!$M$55:$M$69)=0,0,SUMPRODUCT((History!$M$55:$M$69&gt;0)*(O9:O23))/SUM(History!$M$55:$M$69))</f>
        <v>1.17619901910022</v>
      </c>
      <c r="P220" s="63" t="n">
        <f aca="false">IF(SUM(History!$N$55:$N$69)=0,0,SUMPRODUCT((History!$N$55:$N$69&gt;0)*(P9:P23))/SUM(History!$N$55:$N$69))</f>
        <v>1.18345507105218</v>
      </c>
      <c r="Q220" s="75" t="n">
        <f aca="false">IF(SUM(E9:E28)=0,0,SUMPRODUCT((E9:E28&gt;0)*(Q9:Q28))/SUM(E9:E28))</f>
        <v>1.16826035996708</v>
      </c>
      <c r="R220" s="75" t="n">
        <f aca="false">IF(SUM(F9:F28)=0,0,SUMPRODUCT((F9:F28&gt;0)*(R9:R28))/SUM(F9:F28))</f>
        <v>1.1294192736329</v>
      </c>
      <c r="S220" s="75" t="n">
        <f aca="false">IF(SUM(G9:G28)=0,0,SUMPRODUCT((G9:G28&gt;0)*(S9:S28))/SUM(G9:G28))</f>
        <v>1.22364373007325</v>
      </c>
      <c r="T220" s="75" t="n">
        <f aca="false">IF(SUM(H9:H28)=0,0,SUMPRODUCT((H9:H28&gt;0)*(T9:T28))/SUM(H9:H28))</f>
        <v>1.20960664966122</v>
      </c>
      <c r="U220" s="75" t="n">
        <f aca="false">IF(SUM(I9:I28)=0,0,SUMPRODUCT((I9:I28&gt;0)*(U9:U28))/SUM(I9:I28))</f>
        <v>1.22106542787384</v>
      </c>
      <c r="V220" s="75" t="n">
        <f aca="false">IF(SUM(J9:J28)=0,0,SUMPRODUCT((J9:J28&gt;0)*(V9:V28))/SUM(J9:J28))</f>
        <v>1.17792320300446</v>
      </c>
      <c r="W220" s="75" t="n">
        <f aca="false">IF(SUM(K9:K28)=0,0,SUMPRODUCT((K9:K28&gt;0)*(W9:W28))/SUM(K9:K28))</f>
        <v>1.14760617563192</v>
      </c>
      <c r="X220" s="75" t="n">
        <f aca="false">IF(SUM(L9:L28)=0,0,SUMPRODUCT((L9:L28&gt;0)*(X9:X28))/SUM(L9:L28))</f>
        <v>1.1634874762208</v>
      </c>
      <c r="Y220" s="75" t="n">
        <f aca="false">IF(SUM(M9:M28)=0,0,SUMPRODUCT((M9:M28&gt;0)*(Y9:Y28))/SUM(M9:M28))</f>
        <v>1.16291037519777</v>
      </c>
      <c r="Z220" s="75" t="n">
        <f aca="false">IF(SUM(N9:N28)=0,0,SUMPRODUCT((N9:N28&gt;0)*(Z9:Z28))/SUM(N9:N28))</f>
        <v>1.16244471870473</v>
      </c>
      <c r="AA220" s="75" t="n">
        <f aca="false">IF(SUM(O9:O28)=0,0,SUMPRODUCT((O9:O28&gt;0)*(AA9:AA28))/SUM(O9:O28))</f>
        <v>1.1694202414304</v>
      </c>
      <c r="AB220" s="75" t="n">
        <f aca="false">IF(SUM(P9:P28)=0,0,SUMPRODUCT((P9:P28&gt;0)*(AB9:AB28))/SUM(P9:P28))</f>
        <v>1.17262202567779</v>
      </c>
    </row>
    <row r="221" customFormat="false" ht="15" hidden="false" customHeight="false" outlineLevel="0" collapsed="false">
      <c r="A221" s="28" t="s">
        <v>968</v>
      </c>
      <c r="B221" s="62"/>
      <c r="C221" s="69" t="n">
        <f aca="false">P221</f>
        <v>16</v>
      </c>
      <c r="D221" s="69" t="n">
        <f aca="false">AB221</f>
        <v>19</v>
      </c>
      <c r="E221" s="116" t="n">
        <f aca="false">COUNTIF(E30:E49,"&gt;0")</f>
        <v>13</v>
      </c>
      <c r="F221" s="116" t="n">
        <f aca="false">COUNTIF(F30:F49,"&gt;0")</f>
        <v>13</v>
      </c>
      <c r="G221" s="116" t="n">
        <f aca="false">COUNTIF(G30:G49,"&gt;0")</f>
        <v>12</v>
      </c>
      <c r="H221" s="116" t="n">
        <f aca="false">COUNTIF(H30:H49,"&gt;0")</f>
        <v>13</v>
      </c>
      <c r="I221" s="116" t="n">
        <f aca="false">COUNTIF(I30:I49,"&gt;0")</f>
        <v>13</v>
      </c>
      <c r="J221" s="116" t="n">
        <f aca="false">COUNTIF(J30:J49,"&gt;0")</f>
        <v>13</v>
      </c>
      <c r="K221" s="116" t="n">
        <f aca="false">COUNTIF(K30:K49,"&gt;0")</f>
        <v>14</v>
      </c>
      <c r="L221" s="116" t="n">
        <f aca="false">COUNTIF(L30:L49,"&gt;0")</f>
        <v>14</v>
      </c>
      <c r="M221" s="116" t="n">
        <f aca="false">COUNTIF(M30:M49,"&gt;0")</f>
        <v>14</v>
      </c>
      <c r="N221" s="116" t="n">
        <f aca="false">COUNTIF(N30:N49,"&gt;0")</f>
        <v>14</v>
      </c>
      <c r="O221" s="116" t="n">
        <f aca="false">COUNTIF(O30:O49,"&gt;0")</f>
        <v>15</v>
      </c>
      <c r="P221" s="116" t="n">
        <f aca="false">COUNTIF(P30:P49,"&gt;0")</f>
        <v>16</v>
      </c>
      <c r="Q221" s="116" t="n">
        <f aca="false">COUNTIF(Q30:Q49,"&gt;0")</f>
        <v>16</v>
      </c>
      <c r="R221" s="116" t="n">
        <f aca="false">COUNTIF(R30:R49,"&gt;0")</f>
        <v>17</v>
      </c>
      <c r="S221" s="116" t="n">
        <f aca="false">COUNTIF(S30:S49,"&gt;0")</f>
        <v>18</v>
      </c>
      <c r="T221" s="116" t="n">
        <f aca="false">COUNTIF(T30:T49,"&gt;0")</f>
        <v>18</v>
      </c>
      <c r="U221" s="116" t="n">
        <f aca="false">COUNTIF(U30:U49,"&gt;0")</f>
        <v>19</v>
      </c>
      <c r="V221" s="116" t="n">
        <f aca="false">COUNTIF(V30:V49,"&gt;0")</f>
        <v>19</v>
      </c>
      <c r="W221" s="116" t="n">
        <f aca="false">COUNTIF(W30:W49,"&gt;0")</f>
        <v>19</v>
      </c>
      <c r="X221" s="116" t="n">
        <f aca="false">COUNTIF(X30:X49,"&gt;0")</f>
        <v>19</v>
      </c>
      <c r="Y221" s="116" t="n">
        <f aca="false">COUNTIF(Y30:Y49,"&gt;0")</f>
        <v>19</v>
      </c>
      <c r="Z221" s="116" t="n">
        <f aca="false">COUNTIF(Z30:Z49,"&gt;0")</f>
        <v>19</v>
      </c>
      <c r="AA221" s="116" t="n">
        <f aca="false">COUNTIF(AA30:AA49,"&gt;0")</f>
        <v>19</v>
      </c>
      <c r="AB221" s="116" t="n">
        <f aca="false">COUNTIF(AB30:AB49,"&gt;0")</f>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969</v>
      </c>
    </row>
    <row r="3" customFormat="false" ht="15" hidden="false" customHeight="false" outlineLevel="0" collapsed="false">
      <c r="A3" s="49" t="s">
        <v>970</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971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972</v>
      </c>
      <c r="B9" s="62" t="s">
        <v>44</v>
      </c>
      <c r="C9" s="67" t="n">
        <f aca="false">SUM(E9:P9)</f>
        <v>284063.159258258</v>
      </c>
      <c r="D9" s="67" t="n">
        <f aca="false">SUM(Q9:AB9)</f>
        <v>419605.284253546</v>
      </c>
      <c r="E9" s="68" t="n">
        <f aca="false">Revenue!E25</f>
        <v>20391</v>
      </c>
      <c r="F9" s="68" t="n">
        <f aca="false">Revenue!F25</f>
        <v>20914</v>
      </c>
      <c r="G9" s="68" t="n">
        <f aca="false">Revenue!G25</f>
        <v>20965.8</v>
      </c>
      <c r="H9" s="68" t="n">
        <f aca="false">Revenue!H25</f>
        <v>22193.7</v>
      </c>
      <c r="I9" s="68" t="n">
        <f aca="false">Revenue!I25</f>
        <v>22582</v>
      </c>
      <c r="J9" s="68" t="n">
        <f aca="false">Revenue!J25</f>
        <v>23428.1</v>
      </c>
      <c r="K9" s="68" t="n">
        <f aca="false">Revenue!K25</f>
        <v>24582.2</v>
      </c>
      <c r="L9" s="68" t="n">
        <f aca="false">Revenue!L25</f>
        <v>24576.1</v>
      </c>
      <c r="M9" s="68" t="n">
        <f aca="false">Revenue!M25</f>
        <v>24996.9925146562</v>
      </c>
      <c r="N9" s="68" t="n">
        <f aca="false">Revenue!N25</f>
        <v>25427.202778888</v>
      </c>
      <c r="O9" s="68" t="n">
        <f aca="false">Revenue!O25</f>
        <v>26526.5648053701</v>
      </c>
      <c r="P9" s="68" t="n">
        <f aca="false">Revenue!P25</f>
        <v>27479.4991593433</v>
      </c>
      <c r="Q9" s="68" t="n">
        <f aca="false">Revenue!Q25</f>
        <v>31285.1806157636</v>
      </c>
      <c r="R9" s="68" t="n">
        <f aca="false">Revenue!R25</f>
        <v>32154.8836494135</v>
      </c>
      <c r="S9" s="68" t="n">
        <f aca="false">Revenue!S25</f>
        <v>33020.8709080457</v>
      </c>
      <c r="T9" s="68" t="n">
        <f aca="false">Revenue!T25</f>
        <v>33377.056348533</v>
      </c>
      <c r="U9" s="68" t="n">
        <f aca="false">Revenue!U25</f>
        <v>34442.1964017829</v>
      </c>
      <c r="V9" s="68" t="n">
        <f aca="false">Revenue!V25</f>
        <v>34748.7327665005</v>
      </c>
      <c r="W9" s="68" t="n">
        <f aca="false">Revenue!W25</f>
        <v>35194.4898065461</v>
      </c>
      <c r="X9" s="68" t="n">
        <f aca="false">Revenue!X25</f>
        <v>35598.5495264896</v>
      </c>
      <c r="Y9" s="68" t="n">
        <f aca="false">Revenue!Y25</f>
        <v>36458.1678793236</v>
      </c>
      <c r="Z9" s="68" t="n">
        <f aca="false">Revenue!Z25</f>
        <v>37114.6746798979</v>
      </c>
      <c r="AA9" s="68" t="n">
        <f aca="false">Revenue!AA25</f>
        <v>37766.3600899588</v>
      </c>
      <c r="AB9" s="68" t="n">
        <f aca="false">Revenue!AB25</f>
        <v>38444.1215812909</v>
      </c>
    </row>
    <row r="10" customFormat="false" ht="15" hidden="false" customHeight="false" outlineLevel="0" collapsed="false">
      <c r="A10" s="28" t="s">
        <v>973</v>
      </c>
      <c r="B10" s="62" t="s">
        <v>44</v>
      </c>
      <c r="C10" s="67" t="n">
        <f aca="false">SUM(E10:P10)</f>
        <v>258582.555284401</v>
      </c>
      <c r="D10" s="67" t="n">
        <f aca="false">SUM(Q10:AB10)</f>
        <v>385030.264924953</v>
      </c>
      <c r="E10" s="68" t="n">
        <f aca="false">Revenue!E26</f>
        <v>18638.5</v>
      </c>
      <c r="F10" s="68" t="n">
        <f aca="false">Revenue!F26</f>
        <v>19218.2</v>
      </c>
      <c r="G10" s="68" t="n">
        <f aca="false">Revenue!G26</f>
        <v>19002.4</v>
      </c>
      <c r="H10" s="68" t="n">
        <f aca="false">Revenue!H26</f>
        <v>19482.4</v>
      </c>
      <c r="I10" s="68" t="n">
        <f aca="false">Revenue!I26</f>
        <v>19846.2</v>
      </c>
      <c r="J10" s="68" t="n">
        <f aca="false">Revenue!J26</f>
        <v>20443.9</v>
      </c>
      <c r="K10" s="68" t="n">
        <f aca="false">Revenue!K26</f>
        <v>22801</v>
      </c>
      <c r="L10" s="68" t="n">
        <f aca="false">Revenue!L26</f>
        <v>22810.4</v>
      </c>
      <c r="M10" s="68" t="n">
        <f aca="false">Revenue!M26</f>
        <v>23070.8921988993</v>
      </c>
      <c r="N10" s="68" t="n">
        <f aca="false">Revenue!N26</f>
        <v>23583.7084136708</v>
      </c>
      <c r="O10" s="68" t="n">
        <f aca="false">Revenue!O26</f>
        <v>24543.8849466327</v>
      </c>
      <c r="P10" s="68" t="n">
        <f aca="false">Revenue!P26</f>
        <v>25141.0697251977</v>
      </c>
      <c r="Q10" s="68" t="n">
        <f aca="false">Revenue!Q26</f>
        <v>28597.352604241</v>
      </c>
      <c r="R10" s="68" t="n">
        <f aca="false">Revenue!R26</f>
        <v>29423.0063392286</v>
      </c>
      <c r="S10" s="68" t="n">
        <f aca="false">Revenue!S26</f>
        <v>30555.0305423752</v>
      </c>
      <c r="T10" s="68" t="n">
        <f aca="false">Revenue!T26</f>
        <v>30754.5820749717</v>
      </c>
      <c r="U10" s="68" t="n">
        <f aca="false">Revenue!U26</f>
        <v>31664.9477653915</v>
      </c>
      <c r="V10" s="68" t="n">
        <f aca="false">Revenue!V26</f>
        <v>32031.4761894248</v>
      </c>
      <c r="W10" s="68" t="n">
        <f aca="false">Revenue!W26</f>
        <v>32294.0494377702</v>
      </c>
      <c r="X10" s="68" t="n">
        <f aca="false">Revenue!X26</f>
        <v>32645.4023082594</v>
      </c>
      <c r="Y10" s="68" t="n">
        <f aca="false">Revenue!Y26</f>
        <v>33248.0324205514</v>
      </c>
      <c r="Z10" s="68" t="n">
        <f aca="false">Revenue!Z26</f>
        <v>33977.607345138</v>
      </c>
      <c r="AA10" s="68" t="n">
        <f aca="false">Revenue!AA26</f>
        <v>34589.513714375</v>
      </c>
      <c r="AB10" s="68" t="n">
        <f aca="false">Revenue!AB26</f>
        <v>35249.2641832265</v>
      </c>
    </row>
    <row r="11" customFormat="false" ht="15" hidden="false" customHeight="false" outlineLevel="0" collapsed="false">
      <c r="A11" s="28" t="s">
        <v>974</v>
      </c>
      <c r="B11" s="62" t="s">
        <v>44</v>
      </c>
      <c r="C11" s="67" t="n">
        <f aca="false">SUM(E11:P11)</f>
        <v>102867.030058248</v>
      </c>
      <c r="D11" s="67" t="n">
        <f aca="false">SUM(Q11:AB11)</f>
        <v>149373.934821881</v>
      </c>
      <c r="E11" s="68" t="n">
        <f aca="false">Revenue!E27</f>
        <v>7665.8</v>
      </c>
      <c r="F11" s="68" t="n">
        <f aca="false">Revenue!F27</f>
        <v>7877.6</v>
      </c>
      <c r="G11" s="68" t="n">
        <f aca="false">Revenue!G27</f>
        <v>7509.5</v>
      </c>
      <c r="H11" s="68" t="n">
        <f aca="false">Revenue!H27</f>
        <v>7874.2</v>
      </c>
      <c r="I11" s="68" t="n">
        <f aca="false">Revenue!I27</f>
        <v>8049.8</v>
      </c>
      <c r="J11" s="68" t="n">
        <f aca="false">Revenue!J27</f>
        <v>8365.4</v>
      </c>
      <c r="K11" s="68" t="n">
        <f aca="false">Revenue!K27</f>
        <v>8901.9</v>
      </c>
      <c r="L11" s="68" t="n">
        <f aca="false">Revenue!L27</f>
        <v>8967.2</v>
      </c>
      <c r="M11" s="68" t="n">
        <f aca="false">Revenue!M27</f>
        <v>9057.72836875341</v>
      </c>
      <c r="N11" s="68" t="n">
        <f aca="false">Revenue!N27</f>
        <v>9220.68374253818</v>
      </c>
      <c r="O11" s="68" t="n">
        <f aca="false">Revenue!O27</f>
        <v>9533.59474595456</v>
      </c>
      <c r="P11" s="68" t="n">
        <f aca="false">Revenue!P27</f>
        <v>9843.62320100189</v>
      </c>
      <c r="Q11" s="68" t="n">
        <f aca="false">Revenue!Q27</f>
        <v>11189.1669345237</v>
      </c>
      <c r="R11" s="68" t="n">
        <f aca="false">Revenue!R27</f>
        <v>11479.1701687184</v>
      </c>
      <c r="S11" s="68" t="n">
        <f aca="false">Revenue!S27</f>
        <v>11799.2307196037</v>
      </c>
      <c r="T11" s="68" t="n">
        <f aca="false">Revenue!T27</f>
        <v>11917.6318830545</v>
      </c>
      <c r="U11" s="68" t="n">
        <f aca="false">Revenue!U27</f>
        <v>12299.7873522044</v>
      </c>
      <c r="V11" s="68" t="n">
        <f aca="false">Revenue!V27</f>
        <v>12439.0069750038</v>
      </c>
      <c r="W11" s="68" t="n">
        <f aca="false">Revenue!W27</f>
        <v>12572.9296814764</v>
      </c>
      <c r="X11" s="68" t="n">
        <f aca="false">Revenue!X27</f>
        <v>12678.6959713744</v>
      </c>
      <c r="Y11" s="68" t="n">
        <f aca="false">Revenue!Y27</f>
        <v>12920.3442888713</v>
      </c>
      <c r="Z11" s="68" t="n">
        <f aca="false">Revenue!Z27</f>
        <v>13144.7685012457</v>
      </c>
      <c r="AA11" s="68" t="n">
        <f aca="false">Revenue!AA27</f>
        <v>13355.1483877175</v>
      </c>
      <c r="AB11" s="68" t="n">
        <f aca="false">Revenue!AB27</f>
        <v>13578.0539580876</v>
      </c>
    </row>
    <row r="12" customFormat="false" ht="15" hidden="false" customHeight="false" outlineLevel="0" collapsed="false">
      <c r="A12" s="28" t="s">
        <v>975</v>
      </c>
      <c r="B12" s="62" t="s">
        <v>976</v>
      </c>
      <c r="C12" s="117" t="n">
        <f aca="false">AVERAGE(E12:P12)</f>
        <v>0.17075538</v>
      </c>
      <c r="D12" s="117" t="n">
        <f aca="false">AVERAGE(Q12:AB12)</f>
        <v>0.152372743441238</v>
      </c>
      <c r="E12" s="99" t="n">
        <f aca="false">Assumptions!$C$144*Assumptions!E$217</f>
        <v>0.1764</v>
      </c>
      <c r="F12" s="99" t="n">
        <f aca="false">Assumptions!$C$144*Assumptions!F$217</f>
        <v>0.1764</v>
      </c>
      <c r="G12" s="99" t="n">
        <f aca="false">Assumptions!$C$144*Assumptions!G$217</f>
        <v>0.1764</v>
      </c>
      <c r="H12" s="99" t="n">
        <f aca="false">Assumptions!$C$144*Assumptions!H$217</f>
        <v>0.172872</v>
      </c>
      <c r="I12" s="99" t="n">
        <f aca="false">Assumptions!$C$144*Assumptions!I$217</f>
        <v>0.172872</v>
      </c>
      <c r="J12" s="99" t="n">
        <f aca="false">Assumptions!$C$144*Assumptions!J$217</f>
        <v>0.172872</v>
      </c>
      <c r="K12" s="99" t="n">
        <f aca="false">Assumptions!$C$144*Assumptions!K$217</f>
        <v>0.169416</v>
      </c>
      <c r="L12" s="99" t="n">
        <f aca="false">Assumptions!$C$144*Assumptions!L$217</f>
        <v>0.169416</v>
      </c>
      <c r="M12" s="99" t="n">
        <f aca="false">Assumptions!$C$144*Assumptions!M$217</f>
        <v>0.169416</v>
      </c>
      <c r="N12" s="99" t="n">
        <f aca="false">Assumptions!$C$144*Assumptions!N$217</f>
        <v>0.16433352</v>
      </c>
      <c r="O12" s="99" t="n">
        <f aca="false">Assumptions!$C$144*Assumptions!O$217</f>
        <v>0.16433352</v>
      </c>
      <c r="P12" s="99" t="n">
        <f aca="false">Assumptions!$C$144*Assumptions!P$217</f>
        <v>0.16433352</v>
      </c>
      <c r="Q12" s="99" t="n">
        <f aca="false">Assumptions!$C$144*Assumptions!Q$217</f>
        <v>0.1594035144</v>
      </c>
      <c r="R12" s="99" t="n">
        <f aca="false">Assumptions!$C$144*Assumptions!R$217</f>
        <v>0.1594035144</v>
      </c>
      <c r="S12" s="99" t="n">
        <f aca="false">Assumptions!$C$144*Assumptions!S$217</f>
        <v>0.1594035144</v>
      </c>
      <c r="T12" s="99" t="n">
        <f aca="false">Assumptions!$C$144*Assumptions!T$217</f>
        <v>0.154621408968</v>
      </c>
      <c r="U12" s="99" t="n">
        <f aca="false">Assumptions!$C$144*Assumptions!U$217</f>
        <v>0.154621408968</v>
      </c>
      <c r="V12" s="99" t="n">
        <f aca="false">Assumptions!$C$144*Assumptions!V$217</f>
        <v>0.154621408968</v>
      </c>
      <c r="W12" s="99" t="n">
        <f aca="false">Assumptions!$C$144*Assumptions!W$217</f>
        <v>0.14998276669896</v>
      </c>
      <c r="X12" s="99" t="n">
        <f aca="false">Assumptions!$C$144*Assumptions!X$217</f>
        <v>0.14998276669896</v>
      </c>
      <c r="Y12" s="99" t="n">
        <f aca="false">Assumptions!$C$144*Assumptions!Y$217</f>
        <v>0.14998276669896</v>
      </c>
      <c r="Z12" s="99" t="n">
        <f aca="false">Assumptions!$C$144*Assumptions!Z$217</f>
        <v>0.145483283697991</v>
      </c>
      <c r="AA12" s="99" t="n">
        <f aca="false">Assumptions!$C$144*Assumptions!AA$217</f>
        <v>0.145483283697991</v>
      </c>
      <c r="AB12" s="99" t="n">
        <f aca="false">Assumptions!$C$144*Assumptions!AB$217</f>
        <v>0.145483283697991</v>
      </c>
    </row>
    <row r="13" customFormat="false" ht="15" hidden="false" customHeight="false" outlineLevel="0" collapsed="false">
      <c r="A13" s="28" t="s">
        <v>977</v>
      </c>
      <c r="B13" s="62" t="s">
        <v>976</v>
      </c>
      <c r="C13" s="117" t="n">
        <f aca="false">AVERAGE(E13:P13)</f>
        <v>0.20870102</v>
      </c>
      <c r="D13" s="117" t="n">
        <f aca="false">AVERAGE(Q13:AB13)</f>
        <v>0.186233353094846</v>
      </c>
      <c r="E13" s="99" t="n">
        <f aca="false">Assumptions!$C$145*Assumptions!E$217</f>
        <v>0.2156</v>
      </c>
      <c r="F13" s="99" t="n">
        <f aca="false">Assumptions!$C$145*Assumptions!F$217</f>
        <v>0.2156</v>
      </c>
      <c r="G13" s="99" t="n">
        <f aca="false">Assumptions!$C$145*Assumptions!G$217</f>
        <v>0.2156</v>
      </c>
      <c r="H13" s="99" t="n">
        <f aca="false">Assumptions!$C$145*Assumptions!H$217</f>
        <v>0.211288</v>
      </c>
      <c r="I13" s="99" t="n">
        <f aca="false">Assumptions!$C$145*Assumptions!I$217</f>
        <v>0.211288</v>
      </c>
      <c r="J13" s="99" t="n">
        <f aca="false">Assumptions!$C$145*Assumptions!J$217</f>
        <v>0.211288</v>
      </c>
      <c r="K13" s="99" t="n">
        <f aca="false">Assumptions!$C$145*Assumptions!K$217</f>
        <v>0.207064</v>
      </c>
      <c r="L13" s="99" t="n">
        <f aca="false">Assumptions!$C$145*Assumptions!L$217</f>
        <v>0.207064</v>
      </c>
      <c r="M13" s="99" t="n">
        <f aca="false">Assumptions!$C$145*Assumptions!M$217</f>
        <v>0.207064</v>
      </c>
      <c r="N13" s="99" t="n">
        <f aca="false">Assumptions!$C$145*Assumptions!N$217</f>
        <v>0.20085208</v>
      </c>
      <c r="O13" s="99" t="n">
        <f aca="false">Assumptions!$C$145*Assumptions!O$217</f>
        <v>0.20085208</v>
      </c>
      <c r="P13" s="99" t="n">
        <f aca="false">Assumptions!$C$145*Assumptions!P$217</f>
        <v>0.20085208</v>
      </c>
      <c r="Q13" s="99" t="n">
        <f aca="false">Assumptions!$C$145*Assumptions!Q$217</f>
        <v>0.1948265176</v>
      </c>
      <c r="R13" s="99" t="n">
        <f aca="false">Assumptions!$C$145*Assumptions!R$217</f>
        <v>0.1948265176</v>
      </c>
      <c r="S13" s="99" t="n">
        <f aca="false">Assumptions!$C$145*Assumptions!S$217</f>
        <v>0.1948265176</v>
      </c>
      <c r="T13" s="99" t="n">
        <f aca="false">Assumptions!$C$145*Assumptions!T$217</f>
        <v>0.188981722072</v>
      </c>
      <c r="U13" s="99" t="n">
        <f aca="false">Assumptions!$C$145*Assumptions!U$217</f>
        <v>0.188981722072</v>
      </c>
      <c r="V13" s="99" t="n">
        <f aca="false">Assumptions!$C$145*Assumptions!V$217</f>
        <v>0.188981722072</v>
      </c>
      <c r="W13" s="99" t="n">
        <f aca="false">Assumptions!$C$145*Assumptions!W$217</f>
        <v>0.18331227040984</v>
      </c>
      <c r="X13" s="99" t="n">
        <f aca="false">Assumptions!$C$145*Assumptions!X$217</f>
        <v>0.18331227040984</v>
      </c>
      <c r="Y13" s="99" t="n">
        <f aca="false">Assumptions!$C$145*Assumptions!Y$217</f>
        <v>0.18331227040984</v>
      </c>
      <c r="Z13" s="99" t="n">
        <f aca="false">Assumptions!$C$145*Assumptions!Z$217</f>
        <v>0.177812902297545</v>
      </c>
      <c r="AA13" s="99" t="n">
        <f aca="false">Assumptions!$C$145*Assumptions!AA$217</f>
        <v>0.177812902297545</v>
      </c>
      <c r="AB13" s="99" t="n">
        <f aca="false">Assumptions!$C$145*Assumptions!AB$217</f>
        <v>0.177812902297545</v>
      </c>
    </row>
    <row r="14" customFormat="false" ht="15" hidden="false" customHeight="false" outlineLevel="0" collapsed="false">
      <c r="A14" s="28" t="s">
        <v>978</v>
      </c>
      <c r="B14" s="62" t="s">
        <v>976</v>
      </c>
      <c r="C14" s="117" t="n">
        <f aca="false">AVERAGE(E14:P14)</f>
        <v>0.01897282</v>
      </c>
      <c r="D14" s="117" t="n">
        <f aca="false">AVERAGE(Q14:AB14)</f>
        <v>0.0169303048268042</v>
      </c>
      <c r="E14" s="99" t="n">
        <f aca="false">Assumptions!$C$146*Assumptions!E$217</f>
        <v>0.0196</v>
      </c>
      <c r="F14" s="99" t="n">
        <f aca="false">Assumptions!$C$146*Assumptions!F$217</f>
        <v>0.0196</v>
      </c>
      <c r="G14" s="99" t="n">
        <f aca="false">Assumptions!$C$146*Assumptions!G$217</f>
        <v>0.0196</v>
      </c>
      <c r="H14" s="99" t="n">
        <f aca="false">Assumptions!$C$146*Assumptions!H$217</f>
        <v>0.019208</v>
      </c>
      <c r="I14" s="99" t="n">
        <f aca="false">Assumptions!$C$146*Assumptions!I$217</f>
        <v>0.019208</v>
      </c>
      <c r="J14" s="99" t="n">
        <f aca="false">Assumptions!$C$146*Assumptions!J$217</f>
        <v>0.019208</v>
      </c>
      <c r="K14" s="99" t="n">
        <f aca="false">Assumptions!$C$146*Assumptions!K$217</f>
        <v>0.018824</v>
      </c>
      <c r="L14" s="99" t="n">
        <f aca="false">Assumptions!$C$146*Assumptions!L$217</f>
        <v>0.018824</v>
      </c>
      <c r="M14" s="99" t="n">
        <f aca="false">Assumptions!$C$146*Assumptions!M$217</f>
        <v>0.018824</v>
      </c>
      <c r="N14" s="99" t="n">
        <f aca="false">Assumptions!$C$146*Assumptions!N$217</f>
        <v>0.01825928</v>
      </c>
      <c r="O14" s="99" t="n">
        <f aca="false">Assumptions!$C$146*Assumptions!O$217</f>
        <v>0.01825928</v>
      </c>
      <c r="P14" s="99" t="n">
        <f aca="false">Assumptions!$C$146*Assumptions!P$217</f>
        <v>0.01825928</v>
      </c>
      <c r="Q14" s="99" t="n">
        <f aca="false">Assumptions!$C$146*Assumptions!Q$217</f>
        <v>0.0177115016</v>
      </c>
      <c r="R14" s="99" t="n">
        <f aca="false">Assumptions!$C$146*Assumptions!R$217</f>
        <v>0.0177115016</v>
      </c>
      <c r="S14" s="99" t="n">
        <f aca="false">Assumptions!$C$146*Assumptions!S$217</f>
        <v>0.0177115016</v>
      </c>
      <c r="T14" s="99" t="n">
        <f aca="false">Assumptions!$C$146*Assumptions!T$217</f>
        <v>0.017180156552</v>
      </c>
      <c r="U14" s="99" t="n">
        <f aca="false">Assumptions!$C$146*Assumptions!U$217</f>
        <v>0.017180156552</v>
      </c>
      <c r="V14" s="99" t="n">
        <f aca="false">Assumptions!$C$146*Assumptions!V$217</f>
        <v>0.017180156552</v>
      </c>
      <c r="W14" s="99" t="n">
        <f aca="false">Assumptions!$C$146*Assumptions!W$217</f>
        <v>0.01666475185544</v>
      </c>
      <c r="X14" s="99" t="n">
        <f aca="false">Assumptions!$C$146*Assumptions!X$217</f>
        <v>0.01666475185544</v>
      </c>
      <c r="Y14" s="99" t="n">
        <f aca="false">Assumptions!$C$146*Assumptions!Y$217</f>
        <v>0.01666475185544</v>
      </c>
      <c r="Z14" s="99" t="n">
        <f aca="false">Assumptions!$C$146*Assumptions!Z$217</f>
        <v>0.0161648092997768</v>
      </c>
      <c r="AA14" s="99" t="n">
        <f aca="false">Assumptions!$C$146*Assumptions!AA$217</f>
        <v>0.0161648092997768</v>
      </c>
      <c r="AB14" s="99" t="n">
        <f aca="false">Assumptions!$C$146*Assumptions!AB$217</f>
        <v>0.0161648092997768</v>
      </c>
    </row>
    <row r="15" customFormat="false" ht="15" hidden="false" customHeight="false" outlineLevel="0" collapsed="false">
      <c r="A15" s="28" t="s">
        <v>979</v>
      </c>
      <c r="B15" s="62" t="s">
        <v>980</v>
      </c>
      <c r="C15" s="64" t="n">
        <f aca="false">SUM(E15:P15)</f>
        <v>48391.737799338</v>
      </c>
      <c r="D15" s="64" t="n">
        <f aca="false">SUM(Q15:AB15)</f>
        <v>63808.1671656082</v>
      </c>
      <c r="E15" s="73" t="n">
        <f aca="false">E9*E12</f>
        <v>3596.9724</v>
      </c>
      <c r="F15" s="73" t="n">
        <f aca="false">F9*F12</f>
        <v>3689.2296</v>
      </c>
      <c r="G15" s="73" t="n">
        <f aca="false">G9*G12</f>
        <v>3698.36712</v>
      </c>
      <c r="H15" s="73" t="n">
        <f aca="false">H9*H12</f>
        <v>3836.6693064</v>
      </c>
      <c r="I15" s="73" t="n">
        <f aca="false">I9*I12</f>
        <v>3903.795504</v>
      </c>
      <c r="J15" s="73" t="n">
        <f aca="false">J9*J12</f>
        <v>4050.0625032</v>
      </c>
      <c r="K15" s="73" t="n">
        <f aca="false">K9*K12</f>
        <v>4164.6179952</v>
      </c>
      <c r="L15" s="73" t="n">
        <f aca="false">L9*L12</f>
        <v>4163.5845576</v>
      </c>
      <c r="M15" s="73" t="n">
        <f aca="false">M9*M12</f>
        <v>4234.89048386299</v>
      </c>
      <c r="N15" s="73" t="n">
        <f aca="false">N9*N12</f>
        <v>4178.54173640845</v>
      </c>
      <c r="O15" s="73" t="n">
        <f aca="false">O9*O12</f>
        <v>4359.20376797459</v>
      </c>
      <c r="P15" s="73" t="n">
        <f aca="false">P9*P12</f>
        <v>4515.80282469193</v>
      </c>
      <c r="Q15" s="73" t="n">
        <f aca="false">Q9*Q12</f>
        <v>4986.96773879148</v>
      </c>
      <c r="R15" s="73" t="n">
        <f aca="false">R9*R12</f>
        <v>5125.60145883961</v>
      </c>
      <c r="S15" s="73" t="n">
        <f aca="false">S9*S12</f>
        <v>5263.64287129121</v>
      </c>
      <c r="T15" s="73" t="n">
        <f aca="false">T9*T12</f>
        <v>5160.8074798145</v>
      </c>
      <c r="U15" s="73" t="n">
        <f aca="false">U9*U12</f>
        <v>5325.50093559625</v>
      </c>
      <c r="V15" s="73" t="n">
        <f aca="false">V9*V12</f>
        <v>5372.89802020882</v>
      </c>
      <c r="W15" s="73" t="n">
        <f aca="false">W9*W12</f>
        <v>5278.56695374413</v>
      </c>
      <c r="X15" s="73" t="n">
        <f aca="false">X9*X12</f>
        <v>5339.16894845286</v>
      </c>
      <c r="Y15" s="73" t="n">
        <f aca="false">Y9*Y12</f>
        <v>5468.0968873161</v>
      </c>
      <c r="Z15" s="73" t="n">
        <f aca="false">Z9*Z12</f>
        <v>5399.56474581423</v>
      </c>
      <c r="AA15" s="73" t="n">
        <f aca="false">AA9*AA12</f>
        <v>5494.37407920797</v>
      </c>
      <c r="AB15" s="73" t="n">
        <f aca="false">AB9*AB12</f>
        <v>5592.97704653101</v>
      </c>
    </row>
    <row r="16" customFormat="false" ht="15" hidden="false" customHeight="false" outlineLevel="0" collapsed="false">
      <c r="A16" s="28" t="s">
        <v>981</v>
      </c>
      <c r="B16" s="62" t="s">
        <v>980</v>
      </c>
      <c r="C16" s="64" t="n">
        <f aca="false">SUM(E16:P16)</f>
        <v>53825.827471415</v>
      </c>
      <c r="D16" s="64" t="n">
        <f aca="false">SUM(Q16:AB16)</f>
        <v>71565.2118639907</v>
      </c>
      <c r="E16" s="73" t="n">
        <f aca="false">E10*E13</f>
        <v>4018.4606</v>
      </c>
      <c r="F16" s="73" t="n">
        <f aca="false">F10*F13</f>
        <v>4143.44392</v>
      </c>
      <c r="G16" s="73" t="n">
        <f aca="false">G10*G13</f>
        <v>4096.91744</v>
      </c>
      <c r="H16" s="73" t="n">
        <f aca="false">H10*H13</f>
        <v>4116.3973312</v>
      </c>
      <c r="I16" s="73" t="n">
        <f aca="false">I10*I13</f>
        <v>4193.2639056</v>
      </c>
      <c r="J16" s="73" t="n">
        <f aca="false">J10*J13</f>
        <v>4319.5507432</v>
      </c>
      <c r="K16" s="73" t="n">
        <f aca="false">K10*K13</f>
        <v>4721.266264</v>
      </c>
      <c r="L16" s="73" t="n">
        <f aca="false">L10*L13</f>
        <v>4723.2126656</v>
      </c>
      <c r="M16" s="73" t="n">
        <f aca="false">M10*M13</f>
        <v>4777.15122227289</v>
      </c>
      <c r="N16" s="73" t="n">
        <f aca="false">N10*N13</f>
        <v>4736.83688899927</v>
      </c>
      <c r="O16" s="73" t="n">
        <f aca="false">O10*O13</f>
        <v>4929.69034281187</v>
      </c>
      <c r="P16" s="73" t="n">
        <f aca="false">P10*P13</f>
        <v>5049.63614773098</v>
      </c>
      <c r="Q16" s="73" t="n">
        <f aca="false">Q10*Q13</f>
        <v>5571.52262046357</v>
      </c>
      <c r="R16" s="73" t="n">
        <f aca="false">R10*R13</f>
        <v>5732.38186239463</v>
      </c>
      <c r="S16" s="73" t="n">
        <f aca="false">S10*S13</f>
        <v>5952.9301957326</v>
      </c>
      <c r="T16" s="73" t="n">
        <f aca="false">T10*T13</f>
        <v>5812.05388213281</v>
      </c>
      <c r="U16" s="73" t="n">
        <f aca="false">U10*U13</f>
        <v>5984.09635802361</v>
      </c>
      <c r="V16" s="73" t="n">
        <f aca="false">V10*V13</f>
        <v>6053.36353078577</v>
      </c>
      <c r="W16" s="73" t="n">
        <f aca="false">W10*W13</f>
        <v>5919.89552316527</v>
      </c>
      <c r="X16" s="73" t="n">
        <f aca="false">X10*X13</f>
        <v>5984.30281556967</v>
      </c>
      <c r="Y16" s="73" t="n">
        <f aca="false">Y10*Y13</f>
        <v>6094.77230967125</v>
      </c>
      <c r="Z16" s="73" t="n">
        <f aca="false">Z10*Z13</f>
        <v>6041.65697516536</v>
      </c>
      <c r="AA16" s="73" t="n">
        <f aca="false">AA10*AA13</f>
        <v>6150.46182261375</v>
      </c>
      <c r="AB16" s="73" t="n">
        <f aca="false">AB10*AB13</f>
        <v>6267.7739682724</v>
      </c>
    </row>
    <row r="17" customFormat="false" ht="15" hidden="false" customHeight="false" outlineLevel="0" collapsed="false">
      <c r="A17" s="28" t="s">
        <v>982</v>
      </c>
      <c r="B17" s="62" t="s">
        <v>980</v>
      </c>
      <c r="C17" s="64" t="n">
        <f aca="false">SUM(E17:P17)</f>
        <v>1947.43534677437</v>
      </c>
      <c r="D17" s="64" t="n">
        <f aca="false">SUM(Q17:AB17)</f>
        <v>2524.2146863483</v>
      </c>
      <c r="E17" s="73" t="n">
        <f aca="false">E11*E14</f>
        <v>150.24968</v>
      </c>
      <c r="F17" s="73" t="n">
        <f aca="false">F11*F14</f>
        <v>154.40096</v>
      </c>
      <c r="G17" s="73" t="n">
        <f aca="false">G11*G14</f>
        <v>147.1862</v>
      </c>
      <c r="H17" s="73" t="n">
        <f aca="false">H11*H14</f>
        <v>151.2476336</v>
      </c>
      <c r="I17" s="73" t="n">
        <f aca="false">I11*I14</f>
        <v>154.6205584</v>
      </c>
      <c r="J17" s="73" t="n">
        <f aca="false">J11*J14</f>
        <v>160.6826032</v>
      </c>
      <c r="K17" s="73" t="n">
        <f aca="false">K11*K14</f>
        <v>167.5693656</v>
      </c>
      <c r="L17" s="73" t="n">
        <f aca="false">L11*L14</f>
        <v>168.7985728</v>
      </c>
      <c r="M17" s="73" t="n">
        <f aca="false">M11*M14</f>
        <v>170.502678813414</v>
      </c>
      <c r="N17" s="73" t="n">
        <f aca="false">N11*N14</f>
        <v>168.363046246453</v>
      </c>
      <c r="O17" s="73" t="n">
        <f aca="false">O11*O14</f>
        <v>174.076575872913</v>
      </c>
      <c r="P17" s="73" t="n">
        <f aca="false">P11*P14</f>
        <v>179.73747224159</v>
      </c>
      <c r="Q17" s="73" t="n">
        <f aca="false">Q11*Q14</f>
        <v>198.176948063484</v>
      </c>
      <c r="R17" s="73" t="n">
        <f aca="false">R11*R14</f>
        <v>203.313340809928</v>
      </c>
      <c r="S17" s="73" t="n">
        <f aca="false">S11*S14</f>
        <v>208.982093769031</v>
      </c>
      <c r="T17" s="73" t="n">
        <f aca="false">T11*T14</f>
        <v>204.746781479983</v>
      </c>
      <c r="U17" s="73" t="n">
        <f aca="false">U11*U14</f>
        <v>211.312272267181</v>
      </c>
      <c r="V17" s="73" t="n">
        <f aca="false">V11*V14</f>
        <v>213.704087181986</v>
      </c>
      <c r="W17" s="73" t="n">
        <f aca="false">W11*W14</f>
        <v>209.524753237701</v>
      </c>
      <c r="X17" s="73" t="n">
        <f aca="false">X11*X14</f>
        <v>211.287322213521</v>
      </c>
      <c r="Y17" s="73" t="n">
        <f aca="false">Y11*Y14</f>
        <v>215.314331460891</v>
      </c>
      <c r="Z17" s="73" t="n">
        <f aca="false">Z11*Z14</f>
        <v>212.48267611235</v>
      </c>
      <c r="AA17" s="73" t="n">
        <f aca="false">AA11*AA14</f>
        <v>215.883426857674</v>
      </c>
      <c r="AB17" s="73" t="n">
        <f aca="false">AB11*AB14</f>
        <v>219.486652894566</v>
      </c>
    </row>
    <row r="18" customFormat="false" ht="15" hidden="false" customHeight="false" outlineLevel="0" collapsed="false">
      <c r="A18" s="58" t="s">
        <v>983</v>
      </c>
      <c r="B18" s="59"/>
      <c r="C18" s="60" t="n">
        <f aca="false">SUM(E18:P18)</f>
        <v>104165.000617527</v>
      </c>
      <c r="D18" s="60" t="n">
        <f aca="false">SUM(Q18:AB18)</f>
        <v>137897.593715947</v>
      </c>
      <c r="E18" s="60" t="n">
        <f aca="false">E15+E16+E17</f>
        <v>7765.68268</v>
      </c>
      <c r="F18" s="60" t="n">
        <f aca="false">F15+F16+F17</f>
        <v>7987.07448</v>
      </c>
      <c r="G18" s="60" t="n">
        <f aca="false">G15+G16+G17</f>
        <v>7942.47076</v>
      </c>
      <c r="H18" s="60" t="n">
        <f aca="false">H15+H16+H17</f>
        <v>8104.3142712</v>
      </c>
      <c r="I18" s="60" t="n">
        <f aca="false">I15+I16+I17</f>
        <v>8251.679968</v>
      </c>
      <c r="J18" s="60" t="n">
        <f aca="false">J15+J16+J17</f>
        <v>8530.2958496</v>
      </c>
      <c r="K18" s="60" t="n">
        <f aca="false">K15+K16+K17</f>
        <v>9053.4536248</v>
      </c>
      <c r="L18" s="60" t="n">
        <f aca="false">L15+L16+L17</f>
        <v>9055.595796</v>
      </c>
      <c r="M18" s="60" t="n">
        <f aca="false">M15+M16+M17</f>
        <v>9182.5443849493</v>
      </c>
      <c r="N18" s="60" t="n">
        <f aca="false">N15+N16+N17</f>
        <v>9083.74167165417</v>
      </c>
      <c r="O18" s="60" t="n">
        <f aca="false">O15+O16+O17</f>
        <v>9462.97068665937</v>
      </c>
      <c r="P18" s="60" t="n">
        <f aca="false">P15+P16+P17</f>
        <v>9745.1764446645</v>
      </c>
      <c r="Q18" s="60" t="n">
        <f aca="false">Q15+Q16+Q17</f>
        <v>10756.6673073185</v>
      </c>
      <c r="R18" s="60" t="n">
        <f aca="false">R15+R16+R17</f>
        <v>11061.2966620442</v>
      </c>
      <c r="S18" s="60" t="n">
        <f aca="false">S15+S16+S17</f>
        <v>11425.5551607928</v>
      </c>
      <c r="T18" s="60" t="n">
        <f aca="false">T15+T16+T17</f>
        <v>11177.6081434273</v>
      </c>
      <c r="U18" s="60" t="n">
        <f aca="false">U15+U16+U17</f>
        <v>11520.909565887</v>
      </c>
      <c r="V18" s="60" t="n">
        <f aca="false">V15+V16+V17</f>
        <v>11639.9656381766</v>
      </c>
      <c r="W18" s="60" t="n">
        <f aca="false">W15+W16+W17</f>
        <v>11407.9872301471</v>
      </c>
      <c r="X18" s="60" t="n">
        <f aca="false">X15+X16+X17</f>
        <v>11534.759086236</v>
      </c>
      <c r="Y18" s="60" t="n">
        <f aca="false">Y15+Y16+Y17</f>
        <v>11778.1835284482</v>
      </c>
      <c r="Z18" s="60" t="n">
        <f aca="false">Z15+Z16+Z17</f>
        <v>11653.7043970919</v>
      </c>
      <c r="AA18" s="60" t="n">
        <f aca="false">AA15+AA16+AA17</f>
        <v>11860.7193286794</v>
      </c>
      <c r="AB18" s="60" t="n">
        <f aca="false">AB15+AB16+AB17</f>
        <v>12080.237667698</v>
      </c>
    </row>
    <row r="19" customFormat="false" ht="15" hidden="false" customHeight="false" outlineLevel="0" collapsed="false">
      <c r="A19" s="28" t="s">
        <v>984</v>
      </c>
      <c r="B19" s="62"/>
      <c r="C19" s="64" t="n">
        <f aca="false">SUM(E19:P19)</f>
        <v>0</v>
      </c>
      <c r="D19" s="64" t="n">
        <f aca="false">SUM(Q19:AB19)</f>
        <v>0</v>
      </c>
      <c r="E19" s="65" t="n">
        <f aca="false">IF(E$5="A",IF(ABS(Inputs_Actuals!E78-E18)&lt;=1,0,Inputs_Actuals!E78-E18),0)</f>
        <v>0</v>
      </c>
      <c r="F19" s="65" t="n">
        <f aca="false">IF(F$5="A",IF(ABS(Inputs_Actuals!F78-F18)&lt;=1,0,Inputs_Actuals!F78-F18),0)</f>
        <v>0</v>
      </c>
      <c r="G19" s="65" t="n">
        <f aca="false">IF(G$5="A",IF(ABS(Inputs_Actuals!G78-G18)&lt;=1,0,Inputs_Actuals!G78-G18),0)</f>
        <v>0</v>
      </c>
      <c r="H19" s="65" t="n">
        <f aca="false">IF(H$5="A",IF(ABS(Inputs_Actuals!H78-H18)&lt;=1,0,Inputs_Actuals!H78-H18),0)</f>
        <v>0</v>
      </c>
      <c r="I19" s="65" t="n">
        <f aca="false">IF(I$5="A",IF(ABS(Inputs_Actuals!I78-I18)&lt;=1,0,Inputs_Actuals!I78-I18),0)</f>
        <v>0</v>
      </c>
      <c r="J19" s="65" t="n">
        <f aca="false">IF(J$5="A",IF(ABS(Inputs_Actuals!J78-J18)&lt;=1,0,Inputs_Actuals!J78-J18),0)</f>
        <v>0</v>
      </c>
      <c r="K19" s="65" t="n">
        <f aca="false">IF(K$5="A",IF(ABS(Inputs_Actuals!K78-K18)&lt;=1,0,Inputs_Actuals!K78-K18),0)</f>
        <v>0</v>
      </c>
      <c r="L19" s="65" t="n">
        <f aca="false">IF(L$5="A",IF(ABS(Inputs_Actuals!L78-L18)&lt;=1,0,Inputs_Actuals!L78-L18),0)</f>
        <v>0</v>
      </c>
      <c r="M19" s="65" t="n">
        <f aca="false">IF(M$5="A",IF(ABS(Inputs_Actuals!M78-M18)&lt;=1,0,Inputs_Actuals!M78-M18),0)</f>
        <v>0</v>
      </c>
      <c r="N19" s="65" t="n">
        <f aca="false">IF(N$5="A",IF(ABS(Inputs_Actuals!N78-N18)&lt;=1,0,Inputs_Actuals!N78-N18),0)</f>
        <v>0</v>
      </c>
      <c r="O19" s="65" t="n">
        <f aca="false">IF(O$5="A",IF(ABS(Inputs_Actuals!O78-O18)&lt;=1,0,Inputs_Actuals!O78-O18),0)</f>
        <v>0</v>
      </c>
      <c r="P19" s="65" t="n">
        <f aca="false">IF(P$5="A",IF(ABS(Inputs_Actuals!P78-P18)&lt;=1,0,Inputs_Actuals!P78-P18),0)</f>
        <v>0</v>
      </c>
      <c r="Q19" s="65" t="n">
        <f aca="false">IF(Q$5="A",IF(ABS(Inputs_Actuals!Q78-Q18)&lt;=1,0,Inputs_Actuals!Q78-Q18),0)</f>
        <v>0</v>
      </c>
      <c r="R19" s="65" t="n">
        <f aca="false">IF(R$5="A",IF(ABS(Inputs_Actuals!R78-R18)&lt;=1,0,Inputs_Actuals!R78-R18),0)</f>
        <v>0</v>
      </c>
      <c r="S19" s="65" t="n">
        <f aca="false">IF(S$5="A",IF(ABS(Inputs_Actuals!S78-S18)&lt;=1,0,Inputs_Actuals!S78-S18),0)</f>
        <v>0</v>
      </c>
      <c r="T19" s="65" t="n">
        <f aca="false">IF(T$5="A",IF(ABS(Inputs_Actuals!T78-T18)&lt;=1,0,Inputs_Actuals!T78-T18),0)</f>
        <v>0</v>
      </c>
      <c r="U19" s="65" t="n">
        <f aca="false">IF(U$5="A",IF(ABS(Inputs_Actuals!U78-U18)&lt;=1,0,Inputs_Actuals!U78-U18),0)</f>
        <v>0</v>
      </c>
      <c r="V19" s="65" t="n">
        <f aca="false">IF(V$5="A",IF(ABS(Inputs_Actuals!V78-V18)&lt;=1,0,Inputs_Actuals!V78-V18),0)</f>
        <v>0</v>
      </c>
      <c r="W19" s="65" t="n">
        <f aca="false">IF(W$5="A",IF(ABS(Inputs_Actuals!W78-W18)&lt;=1,0,Inputs_Actuals!W78-W18),0)</f>
        <v>0</v>
      </c>
      <c r="X19" s="65" t="n">
        <f aca="false">IF(X$5="A",IF(ABS(Inputs_Actuals!X78-X18)&lt;=1,0,Inputs_Actuals!X78-X18),0)</f>
        <v>0</v>
      </c>
      <c r="Y19" s="65" t="n">
        <f aca="false">IF(Y$5="A",IF(ABS(Inputs_Actuals!Y78-Y18)&lt;=1,0,Inputs_Actuals!Y78-Y18),0)</f>
        <v>0</v>
      </c>
      <c r="Z19" s="65" t="n">
        <f aca="false">IF(Z$5="A",IF(ABS(Inputs_Actuals!Z78-Z18)&lt;=1,0,Inputs_Actuals!Z78-Z18),0)</f>
        <v>0</v>
      </c>
      <c r="AA19" s="65" t="n">
        <f aca="false">IF(AA$5="A",IF(ABS(Inputs_Actuals!AA78-AA18)&lt;=1,0,Inputs_Actuals!AA78-AA18),0)</f>
        <v>0</v>
      </c>
      <c r="AB19" s="65" t="n">
        <f aca="false">IF(AB$5="A",IF(ABS(Inputs_Actuals!AB78-AB18)&lt;=1,0,Inputs_Actuals!AB78-AB18),0)</f>
        <v>0</v>
      </c>
    </row>
    <row r="20" customFormat="false" ht="15" hidden="false" customHeight="false" outlineLevel="0" collapsed="false">
      <c r="A20" s="28" t="s">
        <v>985</v>
      </c>
      <c r="B20" s="62"/>
      <c r="C20" s="64" t="n">
        <f aca="false">SUM(E20:P20)</f>
        <v>140160</v>
      </c>
      <c r="D20" s="64" t="n">
        <f aca="false">SUM(Q20:AB20)</f>
        <v>175200</v>
      </c>
      <c r="E20" s="65" t="n">
        <f aca="false">Assumptions!E$219*Assumptions!E$220</f>
        <v>11904</v>
      </c>
      <c r="F20" s="65" t="n">
        <f aca="false">Assumptions!F$219*Assumptions!F$220</f>
        <v>10752</v>
      </c>
      <c r="G20" s="65" t="n">
        <f aca="false">Assumptions!G$219*Assumptions!G$220</f>
        <v>11904</v>
      </c>
      <c r="H20" s="65" t="n">
        <f aca="false">Assumptions!H$219*Assumptions!H$220</f>
        <v>11520</v>
      </c>
      <c r="I20" s="65" t="n">
        <f aca="false">Assumptions!I$219*Assumptions!I$220</f>
        <v>11904</v>
      </c>
      <c r="J20" s="65" t="n">
        <f aca="false">Assumptions!J$219*Assumptions!J$220</f>
        <v>11520</v>
      </c>
      <c r="K20" s="65" t="n">
        <f aca="false">Assumptions!K$219*Assumptions!K$220</f>
        <v>11904</v>
      </c>
      <c r="L20" s="65" t="n">
        <f aca="false">Assumptions!L$219*Assumptions!L$220</f>
        <v>11904</v>
      </c>
      <c r="M20" s="65" t="n">
        <f aca="false">Assumptions!M$219*Assumptions!M$220</f>
        <v>11520</v>
      </c>
      <c r="N20" s="65" t="n">
        <f aca="false">Assumptions!N$219*Assumptions!N$220</f>
        <v>11904</v>
      </c>
      <c r="O20" s="65" t="n">
        <f aca="false">Assumptions!O$219*Assumptions!O$220</f>
        <v>11520</v>
      </c>
      <c r="P20" s="65" t="n">
        <f aca="false">Assumptions!P$219*Assumptions!P$220</f>
        <v>11904</v>
      </c>
      <c r="Q20" s="65" t="n">
        <f aca="false">Assumptions!Q$219*Assumptions!Q$220</f>
        <v>14880</v>
      </c>
      <c r="R20" s="65" t="n">
        <f aca="false">Assumptions!R$219*Assumptions!R$220</f>
        <v>13440</v>
      </c>
      <c r="S20" s="65" t="n">
        <f aca="false">Assumptions!S$219*Assumptions!S$220</f>
        <v>14880</v>
      </c>
      <c r="T20" s="65" t="n">
        <f aca="false">Assumptions!T$219*Assumptions!T$220</f>
        <v>14400</v>
      </c>
      <c r="U20" s="65" t="n">
        <f aca="false">Assumptions!U$219*Assumptions!U$220</f>
        <v>14880</v>
      </c>
      <c r="V20" s="65" t="n">
        <f aca="false">Assumptions!V$219*Assumptions!V$220</f>
        <v>14400</v>
      </c>
      <c r="W20" s="65" t="n">
        <f aca="false">Assumptions!W$219*Assumptions!W$220</f>
        <v>14880</v>
      </c>
      <c r="X20" s="65" t="n">
        <f aca="false">Assumptions!X$219*Assumptions!X$220</f>
        <v>14880</v>
      </c>
      <c r="Y20" s="65" t="n">
        <f aca="false">Assumptions!Y$219*Assumptions!Y$220</f>
        <v>14400</v>
      </c>
      <c r="Z20" s="65" t="n">
        <f aca="false">Assumptions!Z$219*Assumptions!Z$220</f>
        <v>14880</v>
      </c>
      <c r="AA20" s="65" t="n">
        <f aca="false">Assumptions!AA$219*Assumptions!AA$220</f>
        <v>14400</v>
      </c>
      <c r="AB20" s="65" t="n">
        <f aca="false">Assumptions!AB$219*Assumptions!AB$220</f>
        <v>14880</v>
      </c>
    </row>
    <row r="21" customFormat="false" ht="15" hidden="false" customHeight="false" outlineLevel="0" collapsed="false">
      <c r="A21" s="28" t="s">
        <v>986</v>
      </c>
      <c r="B21" s="62" t="s">
        <v>987</v>
      </c>
      <c r="C21" s="64" t="n">
        <f aca="false">SUM(E21:P21)</f>
        <v>119136</v>
      </c>
      <c r="D21" s="64" t="n">
        <f aca="false">SUM(Q21:AB21)</f>
        <v>148920</v>
      </c>
      <c r="E21" s="65" t="n">
        <f aca="false">E20*Assumptions!$C$158</f>
        <v>10118.4</v>
      </c>
      <c r="F21" s="65" t="n">
        <f aca="false">F20*Assumptions!$C$158</f>
        <v>9139.2</v>
      </c>
      <c r="G21" s="65" t="n">
        <f aca="false">G20*Assumptions!$C$158</f>
        <v>10118.4</v>
      </c>
      <c r="H21" s="65" t="n">
        <f aca="false">H20*Assumptions!$C$158</f>
        <v>9792</v>
      </c>
      <c r="I21" s="65" t="n">
        <f aca="false">I20*Assumptions!$C$158</f>
        <v>10118.4</v>
      </c>
      <c r="J21" s="65" t="n">
        <f aca="false">J20*Assumptions!$C$158</f>
        <v>9792</v>
      </c>
      <c r="K21" s="65" t="n">
        <f aca="false">K20*Assumptions!$C$158</f>
        <v>10118.4</v>
      </c>
      <c r="L21" s="65" t="n">
        <f aca="false">L20*Assumptions!$C$158</f>
        <v>10118.4</v>
      </c>
      <c r="M21" s="65" t="n">
        <f aca="false">M20*Assumptions!$C$158</f>
        <v>9792</v>
      </c>
      <c r="N21" s="65" t="n">
        <f aca="false">N20*Assumptions!$C$158</f>
        <v>10118.4</v>
      </c>
      <c r="O21" s="65" t="n">
        <f aca="false">O20*Assumptions!$C$158</f>
        <v>9792</v>
      </c>
      <c r="P21" s="65" t="n">
        <f aca="false">P20*Assumptions!$C$158</f>
        <v>10118.4</v>
      </c>
      <c r="Q21" s="65" t="n">
        <f aca="false">Q20*Assumptions!$C$158</f>
        <v>12648</v>
      </c>
      <c r="R21" s="65" t="n">
        <f aca="false">R20*Assumptions!$C$158</f>
        <v>11424</v>
      </c>
      <c r="S21" s="65" t="n">
        <f aca="false">S20*Assumptions!$C$158</f>
        <v>12648</v>
      </c>
      <c r="T21" s="65" t="n">
        <f aca="false">T20*Assumptions!$C$158</f>
        <v>12240</v>
      </c>
      <c r="U21" s="65" t="n">
        <f aca="false">U20*Assumptions!$C$158</f>
        <v>12648</v>
      </c>
      <c r="V21" s="65" t="n">
        <f aca="false">V20*Assumptions!$C$158</f>
        <v>12240</v>
      </c>
      <c r="W21" s="65" t="n">
        <f aca="false">W20*Assumptions!$C$158</f>
        <v>12648</v>
      </c>
      <c r="X21" s="65" t="n">
        <f aca="false">X20*Assumptions!$C$158</f>
        <v>12648</v>
      </c>
      <c r="Y21" s="65" t="n">
        <f aca="false">Y20*Assumptions!$C$158</f>
        <v>12240</v>
      </c>
      <c r="Z21" s="65" t="n">
        <f aca="false">Z20*Assumptions!$C$158</f>
        <v>12648</v>
      </c>
      <c r="AA21" s="65" t="n">
        <f aca="false">AA20*Assumptions!$C$158</f>
        <v>12240</v>
      </c>
      <c r="AB21" s="65" t="n">
        <f aca="false">AB20*Assumptions!$C$158</f>
        <v>12648</v>
      </c>
    </row>
    <row r="22" customFormat="false" ht="15" hidden="false" customHeight="false" outlineLevel="0" collapsed="false">
      <c r="A22" s="28" t="s">
        <v>377</v>
      </c>
      <c r="B22" s="62" t="s">
        <v>988</v>
      </c>
      <c r="C22" s="64" t="n">
        <f aca="false">SUM(E22:P22)</f>
        <v>0</v>
      </c>
      <c r="D22" s="64" t="n">
        <f aca="false">SUM(Q22:AB22)</f>
        <v>0</v>
      </c>
      <c r="E22" s="65" t="n">
        <f aca="false">IF(E$5="A",Inputs_Actuals!E80,MAX(0,E18-E21))</f>
        <v>0</v>
      </c>
      <c r="F22" s="65" t="n">
        <f aca="false">IF(F$5="A",Inputs_Actuals!F80,MAX(0,F18-F21))</f>
        <v>0</v>
      </c>
      <c r="G22" s="65" t="n">
        <f aca="false">IF(G$5="A",Inputs_Actuals!G80,MAX(0,G18-G21))</f>
        <v>0</v>
      </c>
      <c r="H22" s="65" t="n">
        <f aca="false">IF(H$5="A",Inputs_Actuals!H80,MAX(0,H18-H21))</f>
        <v>0</v>
      </c>
      <c r="I22" s="65" t="n">
        <f aca="false">IF(I$5="A",Inputs_Actuals!I80,MAX(0,I18-I21))</f>
        <v>0</v>
      </c>
      <c r="J22" s="65" t="n">
        <f aca="false">IF(J$5="A",Inputs_Actuals!J80,MAX(0,J18-J21))</f>
        <v>0</v>
      </c>
      <c r="K22" s="65" t="n">
        <f aca="false">IF(K$5="A",Inputs_Actuals!K80,MAX(0,K18-K21))</f>
        <v>0</v>
      </c>
      <c r="L22" s="65" t="n">
        <f aca="false">IF(L$5="A",Inputs_Actuals!L80,MAX(0,L18-L21))</f>
        <v>0</v>
      </c>
      <c r="M22" s="65" t="n">
        <f aca="false">IF(M$5="A",Inputs_Actuals!M80,MAX(0,M18-M21))</f>
        <v>0</v>
      </c>
      <c r="N22" s="65" t="n">
        <f aca="false">IF(N$5="A",Inputs_Actuals!N80,MAX(0,N18-N21))</f>
        <v>0</v>
      </c>
      <c r="O22" s="65" t="n">
        <f aca="false">IF(O$5="A",Inputs_Actuals!O80,MAX(0,O18-O21))</f>
        <v>0</v>
      </c>
      <c r="P22" s="65" t="n">
        <f aca="false">IF(P$5="A",Inputs_Actuals!P80,MAX(0,P18-P21))</f>
        <v>0</v>
      </c>
      <c r="Q22" s="65" t="n">
        <f aca="false">IF(Q$5="A",Inputs_Actuals!Q80,MAX(0,Q18-Q21))</f>
        <v>0</v>
      </c>
      <c r="R22" s="65" t="n">
        <f aca="false">IF(R$5="A",Inputs_Actuals!R80,MAX(0,R18-R21))</f>
        <v>0</v>
      </c>
      <c r="S22" s="65" t="n">
        <f aca="false">IF(S$5="A",Inputs_Actuals!S80,MAX(0,S18-S21))</f>
        <v>0</v>
      </c>
      <c r="T22" s="65" t="n">
        <f aca="false">IF(T$5="A",Inputs_Actuals!T80,MAX(0,T18-T21))</f>
        <v>0</v>
      </c>
      <c r="U22" s="65" t="n">
        <f aca="false">IF(U$5="A",Inputs_Actuals!U80,MAX(0,U18-U21))</f>
        <v>0</v>
      </c>
      <c r="V22" s="65" t="n">
        <f aca="false">IF(V$5="A",Inputs_Actuals!V80,MAX(0,V18-V21))</f>
        <v>0</v>
      </c>
      <c r="W22" s="65" t="n">
        <f aca="false">IF(W$5="A",Inputs_Actuals!W80,MAX(0,W18-W21))</f>
        <v>0</v>
      </c>
      <c r="X22" s="65" t="n">
        <f aca="false">IF(X$5="A",Inputs_Actuals!X80,MAX(0,X18-X21))</f>
        <v>0</v>
      </c>
      <c r="Y22" s="65" t="n">
        <f aca="false">IF(Y$5="A",Inputs_Actuals!Y80,MAX(0,Y18-Y21))</f>
        <v>0</v>
      </c>
      <c r="Z22" s="65" t="n">
        <f aca="false">IF(Z$5="A",Inputs_Actuals!Z80,MAX(0,Z18-Z21))</f>
        <v>0</v>
      </c>
      <c r="AA22" s="65" t="n">
        <f aca="false">IF(AA$5="A",Inputs_Actuals!AA80,MAX(0,AA18-AA21))</f>
        <v>0</v>
      </c>
      <c r="AB22" s="65" t="n">
        <f aca="false">IF(AB$5="A",Inputs_Actuals!AB80,MAX(0,AB18-AB21))</f>
        <v>0</v>
      </c>
    </row>
    <row r="23" customFormat="false" ht="15" hidden="false" customHeight="false" outlineLevel="0" collapsed="false">
      <c r="A23" s="28" t="s">
        <v>989</v>
      </c>
      <c r="B23" s="62" t="s">
        <v>990</v>
      </c>
      <c r="C23" s="64" t="n">
        <f aca="false">SUM(E23:P23)</f>
        <v>14442.4668120727</v>
      </c>
      <c r="D23" s="64" t="n">
        <f aca="false">SUM(Q23:AB23)</f>
        <v>11022.4062840528</v>
      </c>
      <c r="E23" s="65" t="n">
        <f aca="false">IF(E$5="A",Inputs_Actuals!E79,MIN(Assumptions!$C$160,MAX(0,E21-E18)))</f>
        <v>2000</v>
      </c>
      <c r="F23" s="65" t="n">
        <f aca="false">IF(F$5="A",Inputs_Actuals!F79,MIN(Assumptions!$C$160,MAX(0,F21-F18)))</f>
        <v>1152.1</v>
      </c>
      <c r="G23" s="65" t="n">
        <f aca="false">IF(G$5="A",Inputs_Actuals!G79,MIN(Assumptions!$C$160,MAX(0,G21-G18)))</f>
        <v>2000</v>
      </c>
      <c r="H23" s="65" t="n">
        <f aca="false">IF(H$5="A",Inputs_Actuals!H79,MIN(Assumptions!$C$160,MAX(0,H21-H18)))</f>
        <v>1687.7</v>
      </c>
      <c r="I23" s="65" t="n">
        <f aca="false">IF(I$5="A",Inputs_Actuals!I79,MIN(Assumptions!$C$160,MAX(0,I21-I18)))</f>
        <v>1866.7</v>
      </c>
      <c r="J23" s="65" t="n">
        <f aca="false">IF(J$5="A",Inputs_Actuals!J79,MIN(Assumptions!$C$160,MAX(0,J21-J18)))</f>
        <v>1261.7</v>
      </c>
      <c r="K23" s="65" t="n">
        <f aca="false">IF(K$5="A",Inputs_Actuals!K79,MIN(Assumptions!$C$160,MAX(0,K21-K18)))</f>
        <v>1065</v>
      </c>
      <c r="L23" s="65" t="n">
        <f aca="false">IF(L$5="A",Inputs_Actuals!L79,MIN(Assumptions!$C$160,MAX(0,L21-L18)))</f>
        <v>1062.9</v>
      </c>
      <c r="M23" s="65" t="n">
        <f aca="false">IF(M$5="A",Inputs_Actuals!M79,MIN(Assumptions!$C$160,MAX(0,M21-M18)))</f>
        <v>609.455615050703</v>
      </c>
      <c r="N23" s="65" t="n">
        <f aca="false">IF(N$5="A",Inputs_Actuals!N79,MIN(Assumptions!$C$160,MAX(0,N21-N18)))</f>
        <v>1034.65832834583</v>
      </c>
      <c r="O23" s="65" t="n">
        <f aca="false">IF(O$5="A",Inputs_Actuals!O79,MIN(Assumptions!$C$160,MAX(0,O21-O18)))</f>
        <v>329.029313340627</v>
      </c>
      <c r="P23" s="65" t="n">
        <f aca="false">IF(P$5="A",Inputs_Actuals!P79,MIN(Assumptions!$C$160,MAX(0,P21-P18)))</f>
        <v>373.223555335499</v>
      </c>
      <c r="Q23" s="65" t="n">
        <f aca="false">IF(Q$5="A",Inputs_Actuals!Q79,MIN(Assumptions!$C$160,MAX(0,Q21-Q18)))</f>
        <v>1891.33269268146</v>
      </c>
      <c r="R23" s="65" t="n">
        <f aca="false">IF(R$5="A",Inputs_Actuals!R79,MIN(Assumptions!$C$160,MAX(0,R21-R18)))</f>
        <v>362.703337955831</v>
      </c>
      <c r="S23" s="65" t="n">
        <f aca="false">IF(S$5="A",Inputs_Actuals!S79,MIN(Assumptions!$C$160,MAX(0,S21-S18)))</f>
        <v>1222.44483920716</v>
      </c>
      <c r="T23" s="65" t="n">
        <f aca="false">IF(T$5="A",Inputs_Actuals!T79,MIN(Assumptions!$C$160,MAX(0,T21-T18)))</f>
        <v>1062.39185657271</v>
      </c>
      <c r="U23" s="65" t="n">
        <f aca="false">IF(U$5="A",Inputs_Actuals!U79,MIN(Assumptions!$C$160,MAX(0,U21-U18)))</f>
        <v>1127.09043411296</v>
      </c>
      <c r="V23" s="65" t="n">
        <f aca="false">IF(V$5="A",Inputs_Actuals!V79,MIN(Assumptions!$C$160,MAX(0,V21-V18)))</f>
        <v>600.034361823424</v>
      </c>
      <c r="W23" s="65" t="n">
        <f aca="false">IF(W$5="A",Inputs_Actuals!W79,MIN(Assumptions!$C$160,MAX(0,W21-W18)))</f>
        <v>1240.01276985289</v>
      </c>
      <c r="X23" s="65" t="n">
        <f aca="false">IF(X$5="A",Inputs_Actuals!X79,MIN(Assumptions!$C$160,MAX(0,X21-X18)))</f>
        <v>1113.24091376395</v>
      </c>
      <c r="Y23" s="65" t="n">
        <f aca="false">IF(Y$5="A",Inputs_Actuals!Y79,MIN(Assumptions!$C$160,MAX(0,Y21-Y18)))</f>
        <v>461.816471551758</v>
      </c>
      <c r="Z23" s="65" t="n">
        <f aca="false">IF(Z$5="A",Inputs_Actuals!Z79,MIN(Assumptions!$C$160,MAX(0,Z21-Z18)))</f>
        <v>994.295602908056</v>
      </c>
      <c r="AA23" s="65" t="n">
        <f aca="false">IF(AA$5="A",Inputs_Actuals!AA79,MIN(Assumptions!$C$160,MAX(0,AA21-AA18)))</f>
        <v>379.280671320603</v>
      </c>
      <c r="AB23" s="65" t="n">
        <f aca="false">IF(AB$5="A",Inputs_Actuals!AB79,MIN(Assumptions!$C$160,MAX(0,AB21-AB18)))</f>
        <v>567.762332302025</v>
      </c>
    </row>
    <row r="24" customFormat="false" ht="15" hidden="false" customHeight="false" outlineLevel="0" collapsed="false">
      <c r="A24" s="28" t="s">
        <v>991</v>
      </c>
      <c r="B24" s="62"/>
      <c r="C24" s="64" t="n">
        <f aca="false">SUM(E24:P24)</f>
        <v>0</v>
      </c>
      <c r="D24" s="64" t="n">
        <f aca="false">SUM(Q24:AB24)</f>
        <v>0</v>
      </c>
      <c r="E24" s="73" t="n">
        <f aca="false">IF(E$5="A",0,ROUND(E22-MAX(0,E18-E21),1))</f>
        <v>0</v>
      </c>
      <c r="F24" s="73" t="n">
        <f aca="false">IF(F$5="A",0,ROUND(F22-MAX(0,F18-F21),1))</f>
        <v>0</v>
      </c>
      <c r="G24" s="73" t="n">
        <f aca="false">IF(G$5="A",0,ROUND(G22-MAX(0,G18-G21),1))</f>
        <v>0</v>
      </c>
      <c r="H24" s="73" t="n">
        <f aca="false">IF(H$5="A",0,ROUND(H22-MAX(0,H18-H21),1))</f>
        <v>0</v>
      </c>
      <c r="I24" s="73" t="n">
        <f aca="false">IF(I$5="A",0,ROUND(I22-MAX(0,I18-I21),1))</f>
        <v>0</v>
      </c>
      <c r="J24" s="73" t="n">
        <f aca="false">IF(J$5="A",0,ROUND(J22-MAX(0,J18-J21),1))</f>
        <v>0</v>
      </c>
      <c r="K24" s="73" t="n">
        <f aca="false">IF(K$5="A",0,ROUND(K22-MAX(0,K18-K21),1))</f>
        <v>0</v>
      </c>
      <c r="L24" s="73" t="n">
        <f aca="false">IF(L$5="A",0,ROUND(L22-MAX(0,L18-L21),1))</f>
        <v>0</v>
      </c>
      <c r="M24" s="73" t="n">
        <f aca="false">IF(M$5="A",0,ROUND(M22-MAX(0,M18-M21),1))</f>
        <v>0</v>
      </c>
      <c r="N24" s="73" t="n">
        <f aca="false">IF(N$5="A",0,ROUND(N22-MAX(0,N18-N21),1))</f>
        <v>0</v>
      </c>
      <c r="O24" s="73" t="n">
        <f aca="false">IF(O$5="A",0,ROUND(O22-MAX(0,O18-O21),1))</f>
        <v>0</v>
      </c>
      <c r="P24" s="73" t="n">
        <f aca="false">IF(P$5="A",0,ROUND(P22-MAX(0,P18-P21),1))</f>
        <v>0</v>
      </c>
      <c r="Q24" s="73" t="n">
        <f aca="false">IF(Q$5="A",0,ROUND(Q22-MAX(0,Q18-Q21),1))</f>
        <v>0</v>
      </c>
      <c r="R24" s="73" t="n">
        <f aca="false">IF(R$5="A",0,ROUND(R22-MAX(0,R18-R21),1))</f>
        <v>0</v>
      </c>
      <c r="S24" s="73" t="n">
        <f aca="false">IF(S$5="A",0,ROUND(S22-MAX(0,S18-S21),1))</f>
        <v>0</v>
      </c>
      <c r="T24" s="73" t="n">
        <f aca="false">IF(T$5="A",0,ROUND(T22-MAX(0,T18-T21),1))</f>
        <v>0</v>
      </c>
      <c r="U24" s="73" t="n">
        <f aca="false">IF(U$5="A",0,ROUND(U22-MAX(0,U18-U21),1))</f>
        <v>0</v>
      </c>
      <c r="V24" s="73" t="n">
        <f aca="false">IF(V$5="A",0,ROUND(V22-MAX(0,V18-V21),1))</f>
        <v>0</v>
      </c>
      <c r="W24" s="73" t="n">
        <f aca="false">IF(W$5="A",0,ROUND(W22-MAX(0,W18-W21),1))</f>
        <v>0</v>
      </c>
      <c r="X24" s="73" t="n">
        <f aca="false">IF(X$5="A",0,ROUND(X22-MAX(0,X18-X21),1))</f>
        <v>0</v>
      </c>
      <c r="Y24" s="73" t="n">
        <f aca="false">IF(Y$5="A",0,ROUND(Y22-MAX(0,Y18-Y21),1))</f>
        <v>0</v>
      </c>
      <c r="Z24" s="73" t="n">
        <f aca="false">IF(Z$5="A",0,ROUND(Z22-MAX(0,Z18-Z21),1))</f>
        <v>0</v>
      </c>
      <c r="AA24" s="73" t="n">
        <f aca="false">IF(AA$5="A",0,ROUND(AA22-MAX(0,AA18-AA21),1))</f>
        <v>0</v>
      </c>
      <c r="AB24" s="73" t="n">
        <f aca="false">IF(AB$5="A",0,ROUND(AB22-MAX(0,AB18-AB21),1))</f>
        <v>0</v>
      </c>
    </row>
    <row r="25" customFormat="false" ht="15" hidden="false" customHeight="false" outlineLevel="0" collapsed="false">
      <c r="A25" s="28" t="s">
        <v>992</v>
      </c>
      <c r="B25" s="62"/>
      <c r="C25" s="66" t="n">
        <f aca="false">AVERAGE(E25:P25)</f>
        <v>0.8463000184299</v>
      </c>
      <c r="D25" s="66" t="n">
        <f aca="false">AVERAGE(Q25:AB25)</f>
        <v>0.85</v>
      </c>
      <c r="E25" s="75" t="n">
        <f aca="false">IF(E20=0,0,(E18-E22+E23)/E20)</f>
        <v>0.820369848790323</v>
      </c>
      <c r="F25" s="75" t="n">
        <f aca="false">IF(F20=0,0,(F18-F22+F23)/F20)</f>
        <v>0.849997626488095</v>
      </c>
      <c r="G25" s="75" t="n">
        <f aca="false">IF(G20=0,0,(G18-G22+G23)/G20)</f>
        <v>0.835220997983871</v>
      </c>
      <c r="H25" s="75" t="n">
        <f aca="false">IF(H20=0,0,(H18-H22+H23)/H20)</f>
        <v>0.850001238819445</v>
      </c>
      <c r="I25" s="75" t="n">
        <f aca="false">IF(I20=0,0,(I18-I22+I23)/I20)</f>
        <v>0.849998317204301</v>
      </c>
      <c r="J25" s="75" t="n">
        <f aca="false">IF(J20=0,0,(J18-J22+J23)/J20)</f>
        <v>0.849999639722222</v>
      </c>
      <c r="K25" s="75" t="n">
        <f aca="false">IF(K20=0,0,(K18-K22+K23)/K20)</f>
        <v>0.850004504771506</v>
      </c>
      <c r="L25" s="75" t="n">
        <f aca="false">IF(L20=0,0,(L18-L22+L23)/L20)</f>
        <v>0.850008047379032</v>
      </c>
      <c r="M25" s="75" t="n">
        <f aca="false">IF(M20=0,0,(M18-M22+M23)/M20)</f>
        <v>0.85</v>
      </c>
      <c r="N25" s="75" t="n">
        <f aca="false">IF(N20=0,0,(N18-N22+N23)/N20)</f>
        <v>0.85</v>
      </c>
      <c r="O25" s="75" t="n">
        <f aca="false">IF(O20=0,0,(O18-O22+O23)/O20)</f>
        <v>0.85</v>
      </c>
      <c r="P25" s="75" t="n">
        <f aca="false">IF(P20=0,0,(P18-P22+P23)/P20)</f>
        <v>0.85</v>
      </c>
      <c r="Q25" s="75" t="n">
        <f aca="false">IF(Q20=0,0,(Q18-Q22+Q23)/Q20)</f>
        <v>0.85</v>
      </c>
      <c r="R25" s="75" t="n">
        <f aca="false">IF(R20=0,0,(R18-R22+R23)/R20)</f>
        <v>0.85</v>
      </c>
      <c r="S25" s="75" t="n">
        <f aca="false">IF(S20=0,0,(S18-S22+S23)/S20)</f>
        <v>0.85</v>
      </c>
      <c r="T25" s="75" t="n">
        <f aca="false">IF(T20=0,0,(T18-T22+T23)/T20)</f>
        <v>0.85</v>
      </c>
      <c r="U25" s="75" t="n">
        <f aca="false">IF(U20=0,0,(U18-U22+U23)/U20)</f>
        <v>0.85</v>
      </c>
      <c r="V25" s="75" t="n">
        <f aca="false">IF(V20=0,0,(V18-V22+V23)/V20)</f>
        <v>0.85</v>
      </c>
      <c r="W25" s="75" t="n">
        <f aca="false">IF(W20=0,0,(W18-W22+W23)/W20)</f>
        <v>0.85</v>
      </c>
      <c r="X25" s="75" t="n">
        <f aca="false">IF(X20=0,0,(X18-X22+X23)/X20)</f>
        <v>0.85</v>
      </c>
      <c r="Y25" s="75" t="n">
        <f aca="false">IF(Y20=0,0,(Y18-Y22+Y23)/Y20)</f>
        <v>0.85</v>
      </c>
      <c r="Z25" s="75" t="n">
        <f aca="false">IF(Z20=0,0,(Z18-Z22+Z23)/Z20)</f>
        <v>0.85</v>
      </c>
      <c r="AA25" s="75" t="n">
        <f aca="false">IF(AA20=0,0,(AA18-AA22+AA23)/AA20)</f>
        <v>0.85</v>
      </c>
      <c r="AB25" s="75" t="n">
        <f aca="false">IF(AB20=0,0,(AB18-AB22+AB23)/AB20)</f>
        <v>0.85</v>
      </c>
    </row>
    <row r="26" customFormat="false" ht="15" hidden="false" customHeight="false" outlineLevel="0" collapsed="false">
      <c r="A26" s="28" t="s">
        <v>993</v>
      </c>
      <c r="B26" s="62"/>
      <c r="C26" s="66" t="n">
        <f aca="false">AVERAGE(E26:P26)</f>
        <v>0.874617551281227</v>
      </c>
      <c r="D26" s="66" t="n">
        <f aca="false">AVERAGE(Q26:AB26)</f>
        <v>0.926571275203684</v>
      </c>
      <c r="E26" s="75" t="n">
        <f aca="false">IF(E21=0,0,(E18-E22)/E21)</f>
        <v>0.767481289531942</v>
      </c>
      <c r="F26" s="75" t="n">
        <f aca="false">IF(F21=0,0,(F18-F22)/F21)</f>
        <v>0.873935845588235</v>
      </c>
      <c r="G26" s="75" t="n">
        <f aca="false">IF(G21=0,0,(G18-G22)/G21)</f>
        <v>0.784953229759646</v>
      </c>
      <c r="H26" s="75" t="n">
        <f aca="false">IF(H21=0,0,(H18-H22)/H21)</f>
        <v>0.82764647377451</v>
      </c>
      <c r="I26" s="75" t="n">
        <f aca="false">IF(I21=0,0,(I18-I22)/I21)</f>
        <v>0.815512330803289</v>
      </c>
      <c r="J26" s="75" t="n">
        <f aca="false">IF(J21=0,0,(J18-J22)/J21)</f>
        <v>0.871149494444445</v>
      </c>
      <c r="K26" s="75" t="n">
        <f aca="false">IF(K21=0,0,(K18-K22)/K21)</f>
        <v>0.894751504664769</v>
      </c>
      <c r="L26" s="75" t="n">
        <f aca="false">IF(L21=0,0,(L18-L22)/L21)</f>
        <v>0.894963215132827</v>
      </c>
      <c r="M26" s="75" t="n">
        <f aca="false">IF(M21=0,0,(M18-M22)/M21)</f>
        <v>0.937759843234201</v>
      </c>
      <c r="N26" s="75" t="n">
        <f aca="false">IF(N21=0,0,(N18-N22)/N21)</f>
        <v>0.897744867929136</v>
      </c>
      <c r="O26" s="75" t="n">
        <f aca="false">IF(O21=0,0,(O18-O22)/O21)</f>
        <v>0.966398150189887</v>
      </c>
      <c r="P26" s="75" t="n">
        <f aca="false">IF(P21=0,0,(P18-P22)/P21)</f>
        <v>0.96311437032184</v>
      </c>
      <c r="Q26" s="75" t="n">
        <f aca="false">IF(Q21=0,0,(Q18-Q22)/Q21)</f>
        <v>0.850463892102984</v>
      </c>
      <c r="R26" s="75" t="n">
        <f aca="false">IF(R21=0,0,(R18-R22)/R21)</f>
        <v>0.968250758232158</v>
      </c>
      <c r="S26" s="75" t="n">
        <f aca="false">IF(S21=0,0,(S18-S22)/S21)</f>
        <v>0.903348763503545</v>
      </c>
      <c r="T26" s="75" t="n">
        <f aca="false">IF(T21=0,0,(T18-T22)/T21)</f>
        <v>0.913203279691772</v>
      </c>
      <c r="U26" s="75" t="n">
        <f aca="false">IF(U21=0,0,(U18-U22)/U21)</f>
        <v>0.910887853090373</v>
      </c>
      <c r="V26" s="75" t="n">
        <f aca="false">IF(V21=0,0,(V18-V22)/V21)</f>
        <v>0.950977584818348</v>
      </c>
      <c r="W26" s="75" t="n">
        <f aca="false">IF(W21=0,0,(W18-W22)/W21)</f>
        <v>0.901959774679563</v>
      </c>
      <c r="X26" s="75" t="n">
        <f aca="false">IF(X21=0,0,(X18-X22)/X21)</f>
        <v>0.911982849955412</v>
      </c>
      <c r="Y26" s="75" t="n">
        <f aca="false">IF(Y21=0,0,(Y18-Y22)/Y21)</f>
        <v>0.962269896115052</v>
      </c>
      <c r="Z26" s="75" t="n">
        <f aca="false">IF(Z21=0,0,(Z18-Z22)/Z21)</f>
        <v>0.921387128169825</v>
      </c>
      <c r="AA26" s="75" t="n">
        <f aca="false">IF(AA21=0,0,(AA18-AA22)/AA21)</f>
        <v>0.96901301704897</v>
      </c>
      <c r="AB26" s="75" t="n">
        <f aca="false">IF(AB21=0,0,(AB18-AB22)/AB21)</f>
        <v>0.955110505036209</v>
      </c>
    </row>
    <row r="27" customFormat="false" ht="15" hidden="false" customHeight="false" outlineLevel="0" collapsed="false">
      <c r="A27" s="22" t="s">
        <v>994</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row>
    <row r="28" customFormat="false" ht="15" hidden="false" customHeight="false" outlineLevel="0" collapsed="false">
      <c r="A28" s="28" t="s">
        <v>995</v>
      </c>
      <c r="B28" s="62" t="s">
        <v>996</v>
      </c>
      <c r="C28" s="64" t="n">
        <f aca="false">SUM(E28:P28)</f>
        <v>618899.956516025</v>
      </c>
      <c r="D28" s="64" t="n">
        <f aca="false">SUM(Q28:AB28)</f>
        <v>910158.122375588</v>
      </c>
      <c r="E28" s="65" t="n">
        <f aca="false">IF(E$5="A",Inputs_Actuals!E84,E10*Assumptions!$C$148+E11*Assumptions!$C$149)</f>
        <v>45363.6</v>
      </c>
      <c r="F28" s="65" t="n">
        <f aca="false">IF(F$5="A",Inputs_Actuals!F84,F10*Assumptions!$C$148+F11*Assumptions!$C$149)</f>
        <v>46694.3</v>
      </c>
      <c r="G28" s="65" t="n">
        <f aca="false">IF(G$5="A",Inputs_Actuals!G84,G10*Assumptions!$C$148+G11*Assumptions!$C$149)</f>
        <v>45331.2</v>
      </c>
      <c r="H28" s="65" t="n">
        <f aca="false">IF(H$5="A",Inputs_Actuals!H84,H10*Assumptions!$C$148+H11*Assumptions!$C$149)</f>
        <v>47001.3</v>
      </c>
      <c r="I28" s="65" t="n">
        <f aca="false">IF(I$5="A",Inputs_Actuals!I84,I10*Assumptions!$C$148+I11*Assumptions!$C$149)</f>
        <v>47964.9</v>
      </c>
      <c r="J28" s="65" t="n">
        <f aca="false">IF(J$5="A",Inputs_Actuals!J84,J10*Assumptions!$C$148+J11*Assumptions!$C$149)</f>
        <v>49628.9</v>
      </c>
      <c r="K28" s="65" t="n">
        <f aca="false">IF(K$5="A",Inputs_Actuals!K84,K10*Assumptions!$C$148+K11*Assumptions!$C$149)</f>
        <v>54067.2</v>
      </c>
      <c r="L28" s="65" t="n">
        <f aca="false">IF(L$5="A",Inputs_Actuals!L84,L10*Assumptions!$C$148+L11*Assumptions!$C$149)</f>
        <v>54274.2</v>
      </c>
      <c r="M28" s="65" t="n">
        <f aca="false">IF(M$5="A",Inputs_Actuals!M84,M10*Assumptions!$C$148+M11*Assumptions!$C$149)</f>
        <v>54858.2557449394</v>
      </c>
      <c r="N28" s="65" t="n">
        <f aca="false">IF(N$5="A",Inputs_Actuals!N84,N10*Assumptions!$C$148+N11*Assumptions!$C$149)</f>
        <v>55962.5013240195</v>
      </c>
      <c r="O28" s="65" t="n">
        <f aca="false">IF(O$5="A",Inputs_Actuals!O84,O10*Assumptions!$C$148+O11*Assumptions!$C$149)</f>
        <v>58053.446173823</v>
      </c>
      <c r="P28" s="65" t="n">
        <f aca="false">IF(P$5="A",Inputs_Actuals!P84,P10*Assumptions!$C$148+P11*Assumptions!$C$149)</f>
        <v>59700.1532732429</v>
      </c>
      <c r="Q28" s="65" t="n">
        <f aca="false">IF(Q$5="A",Inputs_Actuals!Q84,Q10*Assumptions!$C$148+Q11*Assumptions!$C$149)</f>
        <v>67884.3239286605</v>
      </c>
      <c r="R28" s="65" t="n">
        <f aca="false">IF(R$5="A",Inputs_Actuals!R84,R10*Assumptions!$C$148+R11*Assumptions!$C$149)</f>
        <v>69745.1181132294</v>
      </c>
      <c r="S28" s="65" t="n">
        <f aca="false">IF(S$5="A",Inputs_Actuals!S84,S10*Assumptions!$C$148+S11*Assumptions!$C$149)</f>
        <v>72063.7288096614</v>
      </c>
      <c r="T28" s="65" t="n">
        <f aca="false">IF(T$5="A",Inputs_Actuals!T84,T10*Assumptions!$C$148+T11*Assumptions!$C$149)</f>
        <v>72658.3941391295</v>
      </c>
      <c r="U28" s="65" t="n">
        <f aca="false">IF(U$5="A",Inputs_Actuals!U84,U10*Assumptions!$C$148+U11*Assumptions!$C$149)</f>
        <v>74897.299375083</v>
      </c>
      <c r="V28" s="65" t="n">
        <f aca="false">IF(V$5="A",Inputs_Actuals!V84,V10*Assumptions!$C$148+V11*Assumptions!$C$149)</f>
        <v>75754.7923523213</v>
      </c>
      <c r="W28" s="65" t="n">
        <f aca="false">IF(W$5="A",Inputs_Actuals!W84,W10*Assumptions!$C$148+W11*Assumptions!$C$149)</f>
        <v>76471.6483697535</v>
      </c>
      <c r="X28" s="65" t="n">
        <f aca="false">IF(X$5="A",Inputs_Actuals!X84,X10*Assumptions!$C$148+X11*Assumptions!$C$149)</f>
        <v>77210.5706840345</v>
      </c>
      <c r="Y28" s="65" t="n">
        <f aca="false">IF(Y$5="A",Inputs_Actuals!Y84,Y10*Assumptions!$C$148+Y11*Assumptions!$C$149)</f>
        <v>78658.6717712755</v>
      </c>
      <c r="Z28" s="65" t="n">
        <f aca="false">IF(Z$5="A",Inputs_Actuals!Z84,Z10*Assumptions!$C$148+Z11*Assumptions!$C$149)</f>
        <v>80207.4343179028</v>
      </c>
      <c r="AA28" s="65" t="n">
        <f aca="false">IF(AA$5="A",Inputs_Actuals!AA84,AA10*Assumptions!$C$148+AA11*Assumptions!$C$149)</f>
        <v>81572.8616204024</v>
      </c>
      <c r="AB28" s="65" t="n">
        <f aca="false">IF(AB$5="A",Inputs_Actuals!AB84,AB10*Assumptions!$C$148+AB11*Assumptions!$C$149)</f>
        <v>83033.2788941346</v>
      </c>
    </row>
    <row r="29" customFormat="false" ht="15" hidden="false" customHeight="false" outlineLevel="0" collapsed="false">
      <c r="A29" s="28" t="s">
        <v>997</v>
      </c>
      <c r="B29" s="62" t="s">
        <v>996</v>
      </c>
      <c r="C29" s="64" t="n">
        <f aca="false">SUM(E29:P29)</f>
        <v>71015.6648145644</v>
      </c>
      <c r="D29" s="64" t="n">
        <f aca="false">SUM(Q29:AB29)</f>
        <v>104901.321063387</v>
      </c>
      <c r="E29" s="65" t="n">
        <f aca="false">IF(E$5="A",Inputs_Actuals!E86,E9*Assumptions!$C$147)</f>
        <v>5097.8</v>
      </c>
      <c r="F29" s="65" t="n">
        <f aca="false">IF(F$5="A",Inputs_Actuals!F86,F9*Assumptions!$C$147)</f>
        <v>5228.5</v>
      </c>
      <c r="G29" s="65" t="n">
        <f aca="false">IF(G$5="A",Inputs_Actuals!G86,G9*Assumptions!$C$147)</f>
        <v>5241.4</v>
      </c>
      <c r="H29" s="65" t="n">
        <f aca="false">IF(H$5="A",Inputs_Actuals!H86,H9*Assumptions!$C$147)</f>
        <v>5548.4</v>
      </c>
      <c r="I29" s="65" t="n">
        <f aca="false">IF(I$5="A",Inputs_Actuals!I86,I9*Assumptions!$C$147)</f>
        <v>5645.5</v>
      </c>
      <c r="J29" s="65" t="n">
        <f aca="false">IF(J$5="A",Inputs_Actuals!J86,J9*Assumptions!$C$147)</f>
        <v>5857</v>
      </c>
      <c r="K29" s="65" t="n">
        <f aca="false">IF(K$5="A",Inputs_Actuals!K86,K9*Assumptions!$C$147)</f>
        <v>6145.5</v>
      </c>
      <c r="L29" s="65" t="n">
        <f aca="false">IF(L$5="A",Inputs_Actuals!L86,L9*Assumptions!$C$147)</f>
        <v>6144</v>
      </c>
      <c r="M29" s="65" t="n">
        <f aca="false">IF(M$5="A",Inputs_Actuals!M86,M9*Assumptions!$C$147)</f>
        <v>6249.24812866405</v>
      </c>
      <c r="N29" s="65" t="n">
        <f aca="false">IF(N$5="A",Inputs_Actuals!N86,N9*Assumptions!$C$147)</f>
        <v>6356.800694722</v>
      </c>
      <c r="O29" s="65" t="n">
        <f aca="false">IF(O$5="A",Inputs_Actuals!O86,O9*Assumptions!$C$147)</f>
        <v>6631.64120134253</v>
      </c>
      <c r="P29" s="65" t="n">
        <f aca="false">IF(P$5="A",Inputs_Actuals!P86,P9*Assumptions!$C$147)</f>
        <v>6869.87478983583</v>
      </c>
      <c r="Q29" s="65" t="n">
        <f aca="false">IF(Q$5="A",Inputs_Actuals!Q86,Q9*Assumptions!$C$147)</f>
        <v>7821.29515394091</v>
      </c>
      <c r="R29" s="65" t="n">
        <f aca="false">IF(R$5="A",Inputs_Actuals!R86,R9*Assumptions!$C$147)</f>
        <v>8038.72091235338</v>
      </c>
      <c r="S29" s="65" t="n">
        <f aca="false">IF(S$5="A",Inputs_Actuals!S86,S9*Assumptions!$C$147)</f>
        <v>8255.21772701143</v>
      </c>
      <c r="T29" s="65" t="n">
        <f aca="false">IF(T$5="A",Inputs_Actuals!T86,T9*Assumptions!$C$147)</f>
        <v>8344.26408713325</v>
      </c>
      <c r="U29" s="65" t="n">
        <f aca="false">IF(U$5="A",Inputs_Actuals!U86,U9*Assumptions!$C$147)</f>
        <v>8610.54910044572</v>
      </c>
      <c r="V29" s="65" t="n">
        <f aca="false">IF(V$5="A",Inputs_Actuals!V86,V9*Assumptions!$C$147)</f>
        <v>8687.18319162513</v>
      </c>
      <c r="W29" s="65" t="n">
        <f aca="false">IF(W$5="A",Inputs_Actuals!W86,W9*Assumptions!$C$147)</f>
        <v>8798.62245163653</v>
      </c>
      <c r="X29" s="65" t="n">
        <f aca="false">IF(X$5="A",Inputs_Actuals!X86,X9*Assumptions!$C$147)</f>
        <v>8899.6373816224</v>
      </c>
      <c r="Y29" s="65" t="n">
        <f aca="false">IF(Y$5="A",Inputs_Actuals!Y86,Y9*Assumptions!$C$147)</f>
        <v>9114.54196983089</v>
      </c>
      <c r="Z29" s="65" t="n">
        <f aca="false">IF(Z$5="A",Inputs_Actuals!Z86,Z9*Assumptions!$C$147)</f>
        <v>9278.66866997447</v>
      </c>
      <c r="AA29" s="65" t="n">
        <f aca="false">IF(AA$5="A",Inputs_Actuals!AA86,AA9*Assumptions!$C$147)</f>
        <v>9441.5900224897</v>
      </c>
      <c r="AB29" s="65" t="n">
        <f aca="false">IF(AB$5="A",Inputs_Actuals!AB86,AB9*Assumptions!$C$147)</f>
        <v>9611.03039532273</v>
      </c>
    </row>
    <row r="30" customFormat="false" ht="15" hidden="false" customHeight="false" outlineLevel="0" collapsed="false">
      <c r="A30" s="22" t="s">
        <v>998</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customFormat="false" ht="15" hidden="false" customHeight="false" outlineLevel="0" collapsed="false">
      <c r="A31" s="28" t="s">
        <v>999</v>
      </c>
      <c r="B31" s="62" t="s">
        <v>1000</v>
      </c>
      <c r="C31" s="64" t="n">
        <f aca="false">SUM(E31:P31)</f>
        <v>273312</v>
      </c>
      <c r="D31" s="64" t="n">
        <f aca="false">SUM(Q31:AB31)</f>
        <v>341640</v>
      </c>
      <c r="E31" s="65" t="n">
        <f aca="false">IF(E$5="A",Inputs_Actuals!E81,E20*Assumptions!$C$156)</f>
        <v>23212.8</v>
      </c>
      <c r="F31" s="65" t="n">
        <f aca="false">IF(F$5="A",Inputs_Actuals!F81,F20*Assumptions!$C$156)</f>
        <v>20966.4</v>
      </c>
      <c r="G31" s="65" t="n">
        <f aca="false">IF(G$5="A",Inputs_Actuals!G81,G20*Assumptions!$C$156)</f>
        <v>23212.8</v>
      </c>
      <c r="H31" s="65" t="n">
        <f aca="false">IF(H$5="A",Inputs_Actuals!H81,H20*Assumptions!$C$156)</f>
        <v>22464</v>
      </c>
      <c r="I31" s="65" t="n">
        <f aca="false">IF(I$5="A",Inputs_Actuals!I81,I20*Assumptions!$C$156)</f>
        <v>23212.8</v>
      </c>
      <c r="J31" s="65" t="n">
        <f aca="false">IF(J$5="A",Inputs_Actuals!J81,J20*Assumptions!$C$156)</f>
        <v>22464</v>
      </c>
      <c r="K31" s="65" t="n">
        <f aca="false">IF(K$5="A",Inputs_Actuals!K81,K20*Assumptions!$C$156)</f>
        <v>23212.8</v>
      </c>
      <c r="L31" s="65" t="n">
        <f aca="false">IF(L$5="A",Inputs_Actuals!L81,L20*Assumptions!$C$156)</f>
        <v>23212.8</v>
      </c>
      <c r="M31" s="65" t="n">
        <f aca="false">IF(M$5="A",Inputs_Actuals!M81,M20*Assumptions!$C$156)</f>
        <v>22464</v>
      </c>
      <c r="N31" s="65" t="n">
        <f aca="false">IF(N$5="A",Inputs_Actuals!N81,N20*Assumptions!$C$156)</f>
        <v>23212.8</v>
      </c>
      <c r="O31" s="65" t="n">
        <f aca="false">IF(O$5="A",Inputs_Actuals!O81,O20*Assumptions!$C$156)</f>
        <v>22464</v>
      </c>
      <c r="P31" s="65" t="n">
        <f aca="false">IF(P$5="A",Inputs_Actuals!P81,P20*Assumptions!$C$156)</f>
        <v>23212.8</v>
      </c>
      <c r="Q31" s="65" t="n">
        <f aca="false">IF(Q$5="A",Inputs_Actuals!Q81,Q20*Assumptions!$C$156)</f>
        <v>29016</v>
      </c>
      <c r="R31" s="65" t="n">
        <f aca="false">IF(R$5="A",Inputs_Actuals!R81,R20*Assumptions!$C$156)</f>
        <v>26208</v>
      </c>
      <c r="S31" s="65" t="n">
        <f aca="false">IF(S$5="A",Inputs_Actuals!S81,S20*Assumptions!$C$156)</f>
        <v>29016</v>
      </c>
      <c r="T31" s="65" t="n">
        <f aca="false">IF(T$5="A",Inputs_Actuals!T81,T20*Assumptions!$C$156)</f>
        <v>28080</v>
      </c>
      <c r="U31" s="65" t="n">
        <f aca="false">IF(U$5="A",Inputs_Actuals!U81,U20*Assumptions!$C$156)</f>
        <v>29016</v>
      </c>
      <c r="V31" s="65" t="n">
        <f aca="false">IF(V$5="A",Inputs_Actuals!V81,V20*Assumptions!$C$156)</f>
        <v>28080</v>
      </c>
      <c r="W31" s="65" t="n">
        <f aca="false">IF(W$5="A",Inputs_Actuals!W81,W20*Assumptions!$C$156)</f>
        <v>29016</v>
      </c>
      <c r="X31" s="65" t="n">
        <f aca="false">IF(X$5="A",Inputs_Actuals!X81,X20*Assumptions!$C$156)</f>
        <v>29016</v>
      </c>
      <c r="Y31" s="65" t="n">
        <f aca="false">IF(Y$5="A",Inputs_Actuals!Y81,Y20*Assumptions!$C$156)</f>
        <v>28080</v>
      </c>
      <c r="Z31" s="65" t="n">
        <f aca="false">IF(Z$5="A",Inputs_Actuals!Z81,Z20*Assumptions!$C$156)</f>
        <v>29016</v>
      </c>
      <c r="AA31" s="65" t="n">
        <f aca="false">IF(AA$5="A",Inputs_Actuals!AA81,AA20*Assumptions!$C$156)</f>
        <v>28080</v>
      </c>
      <c r="AB31" s="65" t="n">
        <f aca="false">IF(AB$5="A",Inputs_Actuals!AB81,AB20*Assumptions!$C$156)</f>
        <v>29016</v>
      </c>
    </row>
    <row r="32" customFormat="false" ht="15" hidden="false" customHeight="false" outlineLevel="0" collapsed="false">
      <c r="A32" s="28" t="s">
        <v>1001</v>
      </c>
      <c r="B32" s="62" t="s">
        <v>1002</v>
      </c>
      <c r="C32" s="64" t="n">
        <f aca="false">SUM(E32:P32)</f>
        <v>0</v>
      </c>
      <c r="D32" s="64" t="n">
        <f aca="false">SUM(Q32:AB32)</f>
        <v>0</v>
      </c>
      <c r="E32" s="65" t="n">
        <f aca="false">IF(E$5="A",Inputs_Actuals!E82,E22*Assumptions!$C$157)</f>
        <v>0</v>
      </c>
      <c r="F32" s="65" t="n">
        <f aca="false">IF(F$5="A",Inputs_Actuals!F82,F22*Assumptions!$C$157)</f>
        <v>0</v>
      </c>
      <c r="G32" s="65" t="n">
        <f aca="false">IF(G$5="A",Inputs_Actuals!G82,G22*Assumptions!$C$157)</f>
        <v>0</v>
      </c>
      <c r="H32" s="65" t="n">
        <f aca="false">IF(H$5="A",Inputs_Actuals!H82,H22*Assumptions!$C$157)</f>
        <v>0</v>
      </c>
      <c r="I32" s="65" t="n">
        <f aca="false">IF(I$5="A",Inputs_Actuals!I82,I22*Assumptions!$C$157)</f>
        <v>0</v>
      </c>
      <c r="J32" s="65" t="n">
        <f aca="false">IF(J$5="A",Inputs_Actuals!J82,J22*Assumptions!$C$157)</f>
        <v>0</v>
      </c>
      <c r="K32" s="65" t="n">
        <f aca="false">IF(K$5="A",Inputs_Actuals!K82,K22*Assumptions!$C$157)</f>
        <v>0</v>
      </c>
      <c r="L32" s="65" t="n">
        <f aca="false">IF(L$5="A",Inputs_Actuals!L82,L22*Assumptions!$C$157)</f>
        <v>0</v>
      </c>
      <c r="M32" s="65" t="n">
        <f aca="false">IF(M$5="A",Inputs_Actuals!M82,M22*Assumptions!$C$157)</f>
        <v>0</v>
      </c>
      <c r="N32" s="65" t="n">
        <f aca="false">IF(N$5="A",Inputs_Actuals!N82,N22*Assumptions!$C$157)</f>
        <v>0</v>
      </c>
      <c r="O32" s="65" t="n">
        <f aca="false">IF(O$5="A",Inputs_Actuals!O82,O22*Assumptions!$C$157)</f>
        <v>0</v>
      </c>
      <c r="P32" s="65" t="n">
        <f aca="false">IF(P$5="A",Inputs_Actuals!P82,P22*Assumptions!$C$157)</f>
        <v>0</v>
      </c>
      <c r="Q32" s="65" t="n">
        <f aca="false">IF(Q$5="A",Inputs_Actuals!Q82,Q22*Assumptions!$C$157)</f>
        <v>0</v>
      </c>
      <c r="R32" s="65" t="n">
        <f aca="false">IF(R$5="A",Inputs_Actuals!R82,R22*Assumptions!$C$157)</f>
        <v>0</v>
      </c>
      <c r="S32" s="65" t="n">
        <f aca="false">IF(S$5="A",Inputs_Actuals!S82,S22*Assumptions!$C$157)</f>
        <v>0</v>
      </c>
      <c r="T32" s="65" t="n">
        <f aca="false">IF(T$5="A",Inputs_Actuals!T82,T22*Assumptions!$C$157)</f>
        <v>0</v>
      </c>
      <c r="U32" s="65" t="n">
        <f aca="false">IF(U$5="A",Inputs_Actuals!U82,U22*Assumptions!$C$157)</f>
        <v>0</v>
      </c>
      <c r="V32" s="65" t="n">
        <f aca="false">IF(V$5="A",Inputs_Actuals!V82,V22*Assumptions!$C$157)</f>
        <v>0</v>
      </c>
      <c r="W32" s="65" t="n">
        <f aca="false">IF(W$5="A",Inputs_Actuals!W82,W22*Assumptions!$C$157)</f>
        <v>0</v>
      </c>
      <c r="X32" s="65" t="n">
        <f aca="false">IF(X$5="A",Inputs_Actuals!X82,X22*Assumptions!$C$157)</f>
        <v>0</v>
      </c>
      <c r="Y32" s="65" t="n">
        <f aca="false">IF(Y$5="A",Inputs_Actuals!Y82,Y22*Assumptions!$C$157)</f>
        <v>0</v>
      </c>
      <c r="Z32" s="65" t="n">
        <f aca="false">IF(Z$5="A",Inputs_Actuals!Z82,Z22*Assumptions!$C$157)</f>
        <v>0</v>
      </c>
      <c r="AA32" s="65" t="n">
        <f aca="false">IF(AA$5="A",Inputs_Actuals!AA82,AA22*Assumptions!$C$157)</f>
        <v>0</v>
      </c>
      <c r="AB32" s="65" t="n">
        <f aca="false">IF(AB$5="A",Inputs_Actuals!AB82,AB22*Assumptions!$C$157)</f>
        <v>0</v>
      </c>
    </row>
    <row r="33" customFormat="false" ht="15" hidden="false" customHeight="false" outlineLevel="0" collapsed="false">
      <c r="A33" s="28" t="s">
        <v>1003</v>
      </c>
      <c r="B33" s="62" t="s">
        <v>1004</v>
      </c>
      <c r="C33" s="64" t="n">
        <f aca="false">SUM(E33:P33)</f>
        <v>393179.142567315</v>
      </c>
      <c r="D33" s="64" t="n">
        <f aca="false">SUM(Q33:AB33)</f>
        <v>474056.809202168</v>
      </c>
      <c r="E33" s="65" t="n">
        <f aca="false">IF(E$5="A",Inputs_Actuals!E83,Assumptions!$C$152+Assumptions!$C$153*E9+Assumptions!$C$154*E10+Assumptions!$C$155*E11)</f>
        <v>32001.99</v>
      </c>
      <c r="F33" s="65" t="n">
        <f aca="false">IF(F$5="A",Inputs_Actuals!F83,Assumptions!$C$152+Assumptions!$C$153*F9+Assumptions!$C$154*F10+Assumptions!$C$155*F11)</f>
        <v>31169.81</v>
      </c>
      <c r="G33" s="65" t="n">
        <f aca="false">IF(G$5="A",Inputs_Actuals!G83,Assumptions!$C$152+Assumptions!$C$153*G9+Assumptions!$C$154*G10+Assumptions!$C$155*G11)</f>
        <v>29925.08</v>
      </c>
      <c r="H33" s="65" t="n">
        <f aca="false">IF(H$5="A",Inputs_Actuals!H83,Assumptions!$C$152+Assumptions!$C$153*H9+Assumptions!$C$154*H10+Assumptions!$C$155*H11)</f>
        <v>30371.93</v>
      </c>
      <c r="I33" s="65" t="n">
        <f aca="false">IF(I$5="A",Inputs_Actuals!I83,Assumptions!$C$152+Assumptions!$C$153*I9+Assumptions!$C$154*I10+Assumptions!$C$155*I11)</f>
        <v>30331.75</v>
      </c>
      <c r="J33" s="65" t="n">
        <f aca="false">IF(J$5="A",Inputs_Actuals!J83,Assumptions!$C$152+Assumptions!$C$153*J9+Assumptions!$C$154*J10+Assumptions!$C$155*J11)</f>
        <v>33315.01</v>
      </c>
      <c r="K33" s="65" t="n">
        <f aca="false">IF(K$5="A",Inputs_Actuals!K83,Assumptions!$C$152+Assumptions!$C$153*K9+Assumptions!$C$154*K10+Assumptions!$C$155*K11)</f>
        <v>34707.42</v>
      </c>
      <c r="L33" s="65" t="n">
        <f aca="false">IF(L$5="A",Inputs_Actuals!L83,Assumptions!$C$152+Assumptions!$C$153*L9+Assumptions!$C$154*L10+Assumptions!$C$155*L11)</f>
        <v>34955.11</v>
      </c>
      <c r="M33" s="65" t="n">
        <f aca="false">IF(M$5="A",Inputs_Actuals!M83,Assumptions!$C$152+Assumptions!$C$153*M9+Assumptions!$C$154*M10+Assumptions!$C$155*M11)</f>
        <v>33422.4432667298</v>
      </c>
      <c r="N33" s="65" t="n">
        <f aca="false">IF(N$5="A",Inputs_Actuals!N83,Assumptions!$C$152+Assumptions!$C$153*N9+Assumptions!$C$154*N10+Assumptions!$C$155*N11)</f>
        <v>33717.5164502823</v>
      </c>
      <c r="O33" s="65" t="n">
        <f aca="false">IF(O$5="A",Inputs_Actuals!O83,Assumptions!$C$152+Assumptions!$C$153*O9+Assumptions!$C$154*O10+Assumptions!$C$155*O11)</f>
        <v>34373.6283931332</v>
      </c>
      <c r="P33" s="65" t="n">
        <f aca="false">IF(P$5="A",Inputs_Actuals!P83,Assumptions!$C$152+Assumptions!$C$153*P9+Assumptions!$C$154*P10+Assumptions!$C$155*P11)</f>
        <v>34887.4544571698</v>
      </c>
      <c r="Q33" s="65" t="n">
        <f aca="false">IF(Q$5="A",Inputs_Actuals!Q83,Assumptions!$C$152+Assumptions!$C$153*Q9+Assumptions!$C$154*Q10+Assumptions!$C$155*Q11)</f>
        <v>37218.0680600299</v>
      </c>
      <c r="R33" s="65" t="n">
        <f aca="false">IF(R$5="A",Inputs_Actuals!R83,Assumptions!$C$152+Assumptions!$C$153*R9+Assumptions!$C$154*R10+Assumptions!$C$155*R11)</f>
        <v>37757.8778789737</v>
      </c>
      <c r="S33" s="65" t="n">
        <f aca="false">IF(S$5="A",Inputs_Actuals!S83,Assumptions!$C$152+Assumptions!$C$153*S9+Assumptions!$C$154*S10+Assumptions!$C$155*S11)</f>
        <v>38375.9855253702</v>
      </c>
      <c r="T33" s="65" t="n">
        <f aca="false">IF(T$5="A",Inputs_Actuals!T83,Assumptions!$C$152+Assumptions!$C$153*T9+Assumptions!$C$154*T10+Assumptions!$C$155*T11)</f>
        <v>38562.3784290349</v>
      </c>
      <c r="U33" s="65" t="n">
        <f aca="false">IF(U$5="A",Inputs_Actuals!U83,Assumptions!$C$152+Assumptions!$C$153*U9+Assumptions!$C$154*U10+Assumptions!$C$155*U11)</f>
        <v>39200.9844171923</v>
      </c>
      <c r="V33" s="65" t="n">
        <f aca="false">IF(V$5="A",Inputs_Actuals!V83,Assumptions!$C$152+Assumptions!$C$153*V9+Assumptions!$C$154*V10+Assumptions!$C$155*V11)</f>
        <v>39413.8262131318</v>
      </c>
      <c r="W33" s="65" t="n">
        <f aca="false">IF(W$5="A",Inputs_Actuals!W83,Assumptions!$C$152+Assumptions!$C$153*W9+Assumptions!$C$154*W10+Assumptions!$C$155*W11)</f>
        <v>39648.8767598813</v>
      </c>
      <c r="X33" s="65" t="n">
        <f aca="false">IF(X$5="A",Inputs_Actuals!X83,Assumptions!$C$152+Assumptions!$C$153*X9+Assumptions!$C$154*X10+Assumptions!$C$155*X11)</f>
        <v>39888.7125084737</v>
      </c>
      <c r="Y33" s="65" t="n">
        <f aca="false">IF(Y$5="A",Inputs_Actuals!Y83,Assumptions!$C$152+Assumptions!$C$153*Y9+Assumptions!$C$154*Y10+Assumptions!$C$155*Y11)</f>
        <v>40364.4012917882</v>
      </c>
      <c r="Z33" s="65" t="n">
        <f aca="false">IF(Z$5="A",Inputs_Actuals!Z83,Assumptions!$C$152+Assumptions!$C$153*Z9+Assumptions!$C$154*Z10+Assumptions!$C$155*Z11)</f>
        <v>40799.0148243733</v>
      </c>
      <c r="AA33" s="65" t="n">
        <f aca="false">IF(AA$5="A",Inputs_Actuals!AA83,Assumptions!$C$152+Assumptions!$C$153*AA9+Assumptions!$C$154*AA10+Assumptions!$C$155*AA11)</f>
        <v>41201.1192988511</v>
      </c>
      <c r="AB33" s="65" t="n">
        <f aca="false">IF(AB$5="A",Inputs_Actuals!AB83,Assumptions!$C$152+Assumptions!$C$153*AB9+Assumptions!$C$154*AB10+Assumptions!$C$155*AB11)</f>
        <v>41625.5639950672</v>
      </c>
    </row>
    <row r="34" customFormat="false" ht="15" hidden="false" customHeight="false" outlineLevel="0" collapsed="false">
      <c r="A34" s="58" t="s">
        <v>1005</v>
      </c>
      <c r="B34" s="59"/>
      <c r="C34" s="60" t="n">
        <f aca="false">SUM(E34:P34)</f>
        <v>666491.142567315</v>
      </c>
      <c r="D34" s="60" t="n">
        <f aca="false">SUM(Q34:AB34)</f>
        <v>815696.809202168</v>
      </c>
      <c r="E34" s="60" t="n">
        <f aca="false">E31+E32+E33</f>
        <v>55214.79</v>
      </c>
      <c r="F34" s="60" t="n">
        <f aca="false">F31+F32+F33</f>
        <v>52136.21</v>
      </c>
      <c r="G34" s="60" t="n">
        <f aca="false">G31+G32+G33</f>
        <v>53137.88</v>
      </c>
      <c r="H34" s="60" t="n">
        <f aca="false">H31+H32+H33</f>
        <v>52835.93</v>
      </c>
      <c r="I34" s="60" t="n">
        <f aca="false">I31+I32+I33</f>
        <v>53544.55</v>
      </c>
      <c r="J34" s="60" t="n">
        <f aca="false">J31+J32+J33</f>
        <v>55779.01</v>
      </c>
      <c r="K34" s="60" t="n">
        <f aca="false">K31+K32+K33</f>
        <v>57920.22</v>
      </c>
      <c r="L34" s="60" t="n">
        <f aca="false">L31+L32+L33</f>
        <v>58167.91</v>
      </c>
      <c r="M34" s="60" t="n">
        <f aca="false">M31+M32+M33</f>
        <v>55886.4432667298</v>
      </c>
      <c r="N34" s="60" t="n">
        <f aca="false">N31+N32+N33</f>
        <v>56930.3164502823</v>
      </c>
      <c r="O34" s="60" t="n">
        <f aca="false">O31+O32+O33</f>
        <v>56837.6283931332</v>
      </c>
      <c r="P34" s="60" t="n">
        <f aca="false">P31+P32+P33</f>
        <v>58100.2544571698</v>
      </c>
      <c r="Q34" s="60" t="n">
        <f aca="false">Q31+Q32+Q33</f>
        <v>66234.0680600299</v>
      </c>
      <c r="R34" s="60" t="n">
        <f aca="false">R31+R32+R33</f>
        <v>63965.8778789737</v>
      </c>
      <c r="S34" s="60" t="n">
        <f aca="false">S31+S32+S33</f>
        <v>67391.9855253702</v>
      </c>
      <c r="T34" s="60" t="n">
        <f aca="false">T31+T32+T33</f>
        <v>66642.3784290349</v>
      </c>
      <c r="U34" s="60" t="n">
        <f aca="false">U31+U32+U33</f>
        <v>68216.9844171923</v>
      </c>
      <c r="V34" s="60" t="n">
        <f aca="false">V31+V32+V33</f>
        <v>67493.8262131318</v>
      </c>
      <c r="W34" s="60" t="n">
        <f aca="false">W31+W32+W33</f>
        <v>68664.8767598813</v>
      </c>
      <c r="X34" s="60" t="n">
        <f aca="false">X31+X32+X33</f>
        <v>68904.7125084737</v>
      </c>
      <c r="Y34" s="60" t="n">
        <f aca="false">Y31+Y32+Y33</f>
        <v>68444.4012917882</v>
      </c>
      <c r="Z34" s="60" t="n">
        <f aca="false">Z31+Z32+Z33</f>
        <v>69815.0148243733</v>
      </c>
      <c r="AA34" s="60" t="n">
        <f aca="false">AA31+AA32+AA33</f>
        <v>69281.1192988511</v>
      </c>
      <c r="AB34" s="60" t="n">
        <f aca="false">AB31+AB32+AB33</f>
        <v>70641.5639950672</v>
      </c>
    </row>
    <row r="35" customFormat="false" ht="15" hidden="false" customHeight="false" outlineLevel="0" collapsed="false">
      <c r="A35" s="28" t="s">
        <v>564</v>
      </c>
      <c r="B35" s="62" t="s">
        <v>1006</v>
      </c>
      <c r="C35" s="64" t="n">
        <f aca="false">SUM(E35:P35)</f>
        <v>1151162.36264651</v>
      </c>
      <c r="D35" s="64" t="n">
        <f aca="false">SUM(Q35:AB35)</f>
        <v>1365237.18356338</v>
      </c>
      <c r="E35" s="65" t="n">
        <f aca="false">IF(E$5="A",Inputs_Actuals!E85,E28*Assumptions!E$218)</f>
        <v>90587.32</v>
      </c>
      <c r="F35" s="65" t="n">
        <f aca="false">IF(F$5="A",Inputs_Actuals!F85,F28*Assumptions!F$218)</f>
        <v>93347.54</v>
      </c>
      <c r="G35" s="65" t="n">
        <f aca="false">IF(G$5="A",Inputs_Actuals!G85,G28*Assumptions!G$218)</f>
        <v>92058.43</v>
      </c>
      <c r="H35" s="65" t="n">
        <f aca="false">IF(H$5="A",Inputs_Actuals!H85,H28*Assumptions!H$218)</f>
        <v>91600.75</v>
      </c>
      <c r="I35" s="65" t="n">
        <f aca="false">IF(I$5="A",Inputs_Actuals!I85,I28*Assumptions!I$218)</f>
        <v>99739.14</v>
      </c>
      <c r="J35" s="65" t="n">
        <f aca="false">IF(J$5="A",Inputs_Actuals!J85,J28*Assumptions!J$218)</f>
        <v>97887.62</v>
      </c>
      <c r="K35" s="65" t="n">
        <f aca="false">IF(K$5="A",Inputs_Actuals!K85,K28*Assumptions!K$218)</f>
        <v>106990.41</v>
      </c>
      <c r="L35" s="65" t="n">
        <f aca="false">IF(L$5="A",Inputs_Actuals!L85,L28*Assumptions!L$218)</f>
        <v>108660.49</v>
      </c>
      <c r="M35" s="65" t="n">
        <f aca="false">IF(M$5="A",Inputs_Actuals!M85,M28*Assumptions!M$218)</f>
        <v>109716.511489879</v>
      </c>
      <c r="N35" s="65" t="n">
        <f aca="false">IF(N$5="A",Inputs_Actuals!N85,N28*Assumptions!N$218)</f>
        <v>83943.7519860292</v>
      </c>
      <c r="O35" s="65" t="n">
        <f aca="false">IF(O$5="A",Inputs_Actuals!O85,O28*Assumptions!O$218)</f>
        <v>87080.1692607344</v>
      </c>
      <c r="P35" s="65" t="n">
        <f aca="false">IF(P$5="A",Inputs_Actuals!P85,P28*Assumptions!P$218)</f>
        <v>89550.2299098644</v>
      </c>
      <c r="Q35" s="65" t="n">
        <f aca="false">IF(Q$5="A",Inputs_Actuals!Q85,Q28*Assumptions!Q$218)</f>
        <v>101826.485892991</v>
      </c>
      <c r="R35" s="65" t="n">
        <f aca="false">IF(R$5="A",Inputs_Actuals!R85,R28*Assumptions!R$218)</f>
        <v>104617.677169844</v>
      </c>
      <c r="S35" s="65" t="n">
        <f aca="false">IF(S$5="A",Inputs_Actuals!S85,S28*Assumptions!S$218)</f>
        <v>108095.593214492</v>
      </c>
      <c r="T35" s="65" t="n">
        <f aca="false">IF(T$5="A",Inputs_Actuals!T85,T28*Assumptions!T$218)</f>
        <v>108987.591208694</v>
      </c>
      <c r="U35" s="65" t="n">
        <f aca="false">IF(U$5="A",Inputs_Actuals!U85,U28*Assumptions!U$218)</f>
        <v>112345.949062624</v>
      </c>
      <c r="V35" s="65" t="n">
        <f aca="false">IF(V$5="A",Inputs_Actuals!V85,V28*Assumptions!V$218)</f>
        <v>113632.188528482</v>
      </c>
      <c r="W35" s="65" t="n">
        <f aca="false">IF(W$5="A",Inputs_Actuals!W85,W28*Assumptions!W$218)</f>
        <v>114707.47255463</v>
      </c>
      <c r="X35" s="65" t="n">
        <f aca="false">IF(X$5="A",Inputs_Actuals!X85,X28*Assumptions!X$218)</f>
        <v>115815.856026052</v>
      </c>
      <c r="Y35" s="65" t="n">
        <f aca="false">IF(Y$5="A",Inputs_Actuals!Y85,Y28*Assumptions!Y$218)</f>
        <v>117988.007656913</v>
      </c>
      <c r="Z35" s="65" t="n">
        <f aca="false">IF(Z$5="A",Inputs_Actuals!Z85,Z28*Assumptions!Z$218)</f>
        <v>120311.151476854</v>
      </c>
      <c r="AA35" s="65" t="n">
        <f aca="false">IF(AA$5="A",Inputs_Actuals!AA85,AA28*Assumptions!AA$218)</f>
        <v>122359.292430604</v>
      </c>
      <c r="AB35" s="65" t="n">
        <f aca="false">IF(AB$5="A",Inputs_Actuals!AB85,AB28*Assumptions!AB$218)</f>
        <v>124549.918341202</v>
      </c>
    </row>
    <row r="36" customFormat="false" ht="15" hidden="false" customHeight="false" outlineLevel="0" collapsed="false">
      <c r="A36" s="58" t="s">
        <v>1007</v>
      </c>
      <c r="B36" s="59"/>
      <c r="C36" s="60" t="n">
        <f aca="false">SUM(E36:P36)</f>
        <v>1817653.50521382</v>
      </c>
      <c r="D36" s="60" t="n">
        <f aca="false">SUM(Q36:AB36)</f>
        <v>2180933.99276555</v>
      </c>
      <c r="E36" s="60" t="n">
        <f aca="false">E34+E35</f>
        <v>145802.11</v>
      </c>
      <c r="F36" s="60" t="n">
        <f aca="false">F34+F35</f>
        <v>145483.75</v>
      </c>
      <c r="G36" s="60" t="n">
        <f aca="false">G34+G35</f>
        <v>145196.31</v>
      </c>
      <c r="H36" s="60" t="n">
        <f aca="false">H34+H35</f>
        <v>144436.68</v>
      </c>
      <c r="I36" s="60" t="n">
        <f aca="false">I34+I35</f>
        <v>153283.69</v>
      </c>
      <c r="J36" s="60" t="n">
        <f aca="false">J34+J35</f>
        <v>153666.63</v>
      </c>
      <c r="K36" s="60" t="n">
        <f aca="false">K34+K35</f>
        <v>164910.63</v>
      </c>
      <c r="L36" s="60" t="n">
        <f aca="false">L34+L35</f>
        <v>166828.4</v>
      </c>
      <c r="M36" s="60" t="n">
        <f aca="false">M34+M35</f>
        <v>165602.954756609</v>
      </c>
      <c r="N36" s="60" t="n">
        <f aca="false">N34+N35</f>
        <v>140874.068436312</v>
      </c>
      <c r="O36" s="60" t="n">
        <f aca="false">O34+O35</f>
        <v>143917.797653868</v>
      </c>
      <c r="P36" s="60" t="n">
        <f aca="false">P34+P35</f>
        <v>147650.484367034</v>
      </c>
      <c r="Q36" s="60" t="n">
        <f aca="false">Q34+Q35</f>
        <v>168060.553953021</v>
      </c>
      <c r="R36" s="60" t="n">
        <f aca="false">R34+R35</f>
        <v>168583.555048818</v>
      </c>
      <c r="S36" s="60" t="n">
        <f aca="false">S34+S35</f>
        <v>175487.578739862</v>
      </c>
      <c r="T36" s="60" t="n">
        <f aca="false">T34+T35</f>
        <v>175629.969637729</v>
      </c>
      <c r="U36" s="60" t="n">
        <f aca="false">U34+U35</f>
        <v>180562.933479817</v>
      </c>
      <c r="V36" s="60" t="n">
        <f aca="false">V34+V35</f>
        <v>181126.014741614</v>
      </c>
      <c r="W36" s="60" t="n">
        <f aca="false">W34+W35</f>
        <v>183372.349314512</v>
      </c>
      <c r="X36" s="60" t="n">
        <f aca="false">X34+X35</f>
        <v>184720.568534525</v>
      </c>
      <c r="Y36" s="60" t="n">
        <f aca="false">Y34+Y35</f>
        <v>186432.408948702</v>
      </c>
      <c r="Z36" s="60" t="n">
        <f aca="false">Z34+Z35</f>
        <v>190126.166301228</v>
      </c>
      <c r="AA36" s="60" t="n">
        <f aca="false">AA34+AA35</f>
        <v>191640.411729455</v>
      </c>
      <c r="AB36" s="60" t="n">
        <f aca="false">AB34+AB35</f>
        <v>195191.482336269</v>
      </c>
    </row>
    <row r="37" customFormat="false" ht="15" hidden="false" customHeight="false" outlineLevel="0" collapsed="false">
      <c r="A37" s="22" t="s">
        <v>1008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row>
    <row r="38" customFormat="false" ht="15" hidden="false" customHeight="false" outlineLevel="0" collapsed="false">
      <c r="A38" s="28" t="s">
        <v>1009</v>
      </c>
      <c r="B38" s="62" t="s">
        <v>1010</v>
      </c>
      <c r="C38" s="117" t="n">
        <f aca="false">AVERAGE(E38:P38)</f>
        <v>1.15729166666667</v>
      </c>
      <c r="D38" s="117" t="n">
        <f aca="false">AVERAGE(Q38:AB38)</f>
        <v>1.1463</v>
      </c>
      <c r="E38" s="99" t="n">
        <f aca="false">Assumptions!E$216</f>
        <v>1.1737</v>
      </c>
      <c r="F38" s="99" t="n">
        <f aca="false">Assumptions!F$216</f>
        <v>1.1823</v>
      </c>
      <c r="G38" s="99" t="n">
        <f aca="false">Assumptions!G$216</f>
        <v>1.1558</v>
      </c>
      <c r="H38" s="99" t="n">
        <f aca="false">Assumptions!H$216</f>
        <v>1.1705</v>
      </c>
      <c r="I38" s="99" t="n">
        <f aca="false">Assumptions!I$216</f>
        <v>1.1673</v>
      </c>
      <c r="J38" s="99" t="n">
        <f aca="false">Assumptions!J$216</f>
        <v>1.1517</v>
      </c>
      <c r="K38" s="99" t="n">
        <f aca="false">Assumptions!K$216</f>
        <v>1.1417</v>
      </c>
      <c r="L38" s="99" t="n">
        <f aca="false">Assumptions!L$216</f>
        <v>1.1593</v>
      </c>
      <c r="M38" s="99" t="n">
        <f aca="false">Assumptions!M$216</f>
        <v>1.1463</v>
      </c>
      <c r="N38" s="99" t="n">
        <f aca="false">Assumptions!N$216</f>
        <v>1.1463</v>
      </c>
      <c r="O38" s="99" t="n">
        <f aca="false">Assumptions!O$216</f>
        <v>1.1463</v>
      </c>
      <c r="P38" s="99" t="n">
        <f aca="false">Assumptions!P$216</f>
        <v>1.1463</v>
      </c>
      <c r="Q38" s="99" t="n">
        <f aca="false">Assumptions!Q$216</f>
        <v>1.1463</v>
      </c>
      <c r="R38" s="99" t="n">
        <f aca="false">Assumptions!R$216</f>
        <v>1.1463</v>
      </c>
      <c r="S38" s="99" t="n">
        <f aca="false">Assumptions!S$216</f>
        <v>1.1463</v>
      </c>
      <c r="T38" s="99" t="n">
        <f aca="false">Assumptions!T$216</f>
        <v>1.1463</v>
      </c>
      <c r="U38" s="99" t="n">
        <f aca="false">Assumptions!U$216</f>
        <v>1.1463</v>
      </c>
      <c r="V38" s="99" t="n">
        <f aca="false">Assumptions!V$216</f>
        <v>1.1463</v>
      </c>
      <c r="W38" s="99" t="n">
        <f aca="false">Assumptions!W$216</f>
        <v>1.1463</v>
      </c>
      <c r="X38" s="99" t="n">
        <f aca="false">Assumptions!X$216</f>
        <v>1.1463</v>
      </c>
      <c r="Y38" s="99" t="n">
        <f aca="false">Assumptions!Y$216</f>
        <v>1.1463</v>
      </c>
      <c r="Z38" s="99" t="n">
        <f aca="false">Assumptions!Z$216</f>
        <v>1.1463</v>
      </c>
      <c r="AA38" s="99" t="n">
        <f aca="false">Assumptions!AA$216</f>
        <v>1.1463</v>
      </c>
      <c r="AB38" s="99" t="n">
        <f aca="false">Assumptions!AB$216</f>
        <v>1.1463</v>
      </c>
    </row>
    <row r="39" customFormat="false" ht="15" hidden="false" customHeight="false" outlineLevel="0" collapsed="false">
      <c r="A39" s="28" t="s">
        <v>1011</v>
      </c>
      <c r="B39" s="62" t="s">
        <v>1012</v>
      </c>
      <c r="C39" s="64" t="n">
        <f aca="false">SUM(E39:P39)</f>
        <v>236226.770113839</v>
      </c>
      <c r="D39" s="64" t="n">
        <f aca="false">SUM(Q39:AB39)</f>
        <v>298037.163046323</v>
      </c>
      <c r="E39" s="73" t="n">
        <f aca="false">E31/E38</f>
        <v>19777.4559086649</v>
      </c>
      <c r="F39" s="73" t="n">
        <f aca="false">F31/F38</f>
        <v>17733.5701598579</v>
      </c>
      <c r="G39" s="73" t="n">
        <f aca="false">G31/G38</f>
        <v>20083.7515141028</v>
      </c>
      <c r="H39" s="73" t="n">
        <f aca="false">H31/H38</f>
        <v>19191.7983767621</v>
      </c>
      <c r="I39" s="73" t="n">
        <f aca="false">I31/I38</f>
        <v>19885.8905165767</v>
      </c>
      <c r="J39" s="73" t="n">
        <f aca="false">J31/J38</f>
        <v>19505.0794477729</v>
      </c>
      <c r="K39" s="73" t="n">
        <f aca="false">K31/K38</f>
        <v>20331.7859332574</v>
      </c>
      <c r="L39" s="73" t="n">
        <f aca="false">L31/L38</f>
        <v>20023.1173984301</v>
      </c>
      <c r="M39" s="73" t="n">
        <f aca="false">M31/M38</f>
        <v>19596.9641455116</v>
      </c>
      <c r="N39" s="73" t="n">
        <f aca="false">N31/N38</f>
        <v>20250.1962836954</v>
      </c>
      <c r="O39" s="73" t="n">
        <f aca="false">O31/O38</f>
        <v>19596.9641455116</v>
      </c>
      <c r="P39" s="73" t="n">
        <f aca="false">P31/P38</f>
        <v>20250.1962836954</v>
      </c>
      <c r="Q39" s="73" t="n">
        <f aca="false">Q31/Q38</f>
        <v>25312.7453546192</v>
      </c>
      <c r="R39" s="73" t="n">
        <f aca="false">R31/R38</f>
        <v>22863.1248364303</v>
      </c>
      <c r="S39" s="73" t="n">
        <f aca="false">S31/S38</f>
        <v>25312.7453546192</v>
      </c>
      <c r="T39" s="73" t="n">
        <f aca="false">T31/T38</f>
        <v>24496.2051818896</v>
      </c>
      <c r="U39" s="73" t="n">
        <f aca="false">U31/U38</f>
        <v>25312.7453546192</v>
      </c>
      <c r="V39" s="73" t="n">
        <f aca="false">V31/V38</f>
        <v>24496.2051818896</v>
      </c>
      <c r="W39" s="73" t="n">
        <f aca="false">W31/W38</f>
        <v>25312.7453546192</v>
      </c>
      <c r="X39" s="73" t="n">
        <f aca="false">X31/X38</f>
        <v>25312.7453546192</v>
      </c>
      <c r="Y39" s="73" t="n">
        <f aca="false">Y31/Y38</f>
        <v>24496.2051818896</v>
      </c>
      <c r="Z39" s="73" t="n">
        <f aca="false">Z31/Z38</f>
        <v>25312.7453546192</v>
      </c>
      <c r="AA39" s="73" t="n">
        <f aca="false">AA31/AA38</f>
        <v>24496.2051818896</v>
      </c>
      <c r="AB39" s="73" t="n">
        <f aca="false">AB31/AB38</f>
        <v>25312.7453546192</v>
      </c>
    </row>
    <row r="40" customFormat="false" ht="15" hidden="false" customHeight="false" outlineLevel="0" collapsed="false">
      <c r="A40" s="28" t="s">
        <v>1013</v>
      </c>
      <c r="B40" s="62" t="s">
        <v>1014</v>
      </c>
      <c r="C40" s="64" t="n">
        <f aca="false">SUM(E40:P40)</f>
        <v>24261.8553575103</v>
      </c>
      <c r="D40" s="64" t="n">
        <f aca="false">SUM(Q40:AB40)</f>
        <v>18750.4948564102</v>
      </c>
      <c r="E40" s="73" t="n">
        <f aca="false">IF(E20=0,0,E39*E23/E20)</f>
        <v>3322.82525347193</v>
      </c>
      <c r="F40" s="73" t="n">
        <f aca="false">IF(F20=0,0,F39*F23/F20)</f>
        <v>1900.19030702867</v>
      </c>
      <c r="G40" s="73" t="n">
        <f aca="false">IF(G20=0,0,G39*G23/G20)</f>
        <v>3374.28620868662</v>
      </c>
      <c r="H40" s="73" t="n">
        <f aca="false">IF(H20=0,0,H39*H23/H20)</f>
        <v>2811.63178129005</v>
      </c>
      <c r="I40" s="73" t="n">
        <f aca="false">IF(I20=0,0,I39*I23/I20)</f>
        <v>3118.36288871755</v>
      </c>
      <c r="J40" s="73" t="n">
        <f aca="false">IF(J20=0,0,J39*J23/J20)</f>
        <v>2136.24641833811</v>
      </c>
      <c r="K40" s="73" t="n">
        <f aca="false">IF(K20=0,0,K39*K23/K20)</f>
        <v>1818.99798546028</v>
      </c>
      <c r="L40" s="73" t="n">
        <f aca="false">IF(L20=0,0,L39*L23/L20)</f>
        <v>1787.8504269818</v>
      </c>
      <c r="M40" s="73" t="n">
        <f aca="false">IF(M20=0,0,M39*M23/M20)</f>
        <v>1036.76040246783</v>
      </c>
      <c r="N40" s="73" t="n">
        <f aca="false">IF(N20=0,0,N39*N23/N20)</f>
        <v>1760.08352113266</v>
      </c>
      <c r="O40" s="73" t="n">
        <f aca="false">IF(O20=0,0,O39*O23/O20)</f>
        <v>559.720109058904</v>
      </c>
      <c r="P40" s="73" t="n">
        <f aca="false">IF(P20=0,0,P39*P23/P20)</f>
        <v>634.900054875881</v>
      </c>
      <c r="Q40" s="73" t="n">
        <f aca="false">IF(Q20=0,0,Q39*Q23/Q20)</f>
        <v>3217.39400744033</v>
      </c>
      <c r="R40" s="73" t="n">
        <f aca="false">IF(R20=0,0,R39*R23/R20)</f>
        <v>617.003846300157</v>
      </c>
      <c r="S40" s="73" t="n">
        <f aca="false">IF(S20=0,0,S39*S23/S20)</f>
        <v>2079.53191699727</v>
      </c>
      <c r="T40" s="73" t="n">
        <f aca="false">IF(T20=0,0,T39*T23/T20)</f>
        <v>1807.26172931761</v>
      </c>
      <c r="U40" s="73" t="n">
        <f aca="false">IF(U20=0,0,U39*U23/U20)</f>
        <v>1917.32212031778</v>
      </c>
      <c r="V40" s="73" t="n">
        <f aca="false">IF(V20=0,0,V39*V23/V20)</f>
        <v>1020.7336696813</v>
      </c>
      <c r="W40" s="73" t="n">
        <f aca="false">IF(W20=0,0,W39*W23/W20)</f>
        <v>2109.41716933887</v>
      </c>
      <c r="X40" s="73" t="n">
        <f aca="false">IF(X20=0,0,X39*X23/X20)</f>
        <v>1893.76235003028</v>
      </c>
      <c r="Y40" s="73" t="n">
        <f aca="false">IF(Y20=0,0,Y39*Y23/Y20)</f>
        <v>785.607711354731</v>
      </c>
      <c r="Z40" s="73" t="n">
        <f aca="false">IF(Z20=0,0,Z39*Z23/Z20)</f>
        <v>1691.42146529766</v>
      </c>
      <c r="AA40" s="73" t="n">
        <f aca="false">IF(AA20=0,0,AA39*AA23/AA20)</f>
        <v>645.203968485715</v>
      </c>
      <c r="AB40" s="73" t="n">
        <f aca="false">IF(AB20=0,0,AB39*AB23/AB20)</f>
        <v>965.834901848512</v>
      </c>
    </row>
    <row r="41" customFormat="false" ht="15" hidden="false" customHeight="false" outlineLevel="0" collapsed="false">
      <c r="A41" s="28" t="s">
        <v>1015</v>
      </c>
      <c r="B41" s="62"/>
      <c r="C41" s="64" t="n">
        <f aca="false">SUM(E41:P41)</f>
        <v>211964.914756328</v>
      </c>
      <c r="D41" s="64" t="n">
        <f aca="false">SUM(Q41:AB41)</f>
        <v>279286.668189913</v>
      </c>
      <c r="E41" s="73" t="n">
        <f aca="false">E39-E40</f>
        <v>16454.630655193</v>
      </c>
      <c r="F41" s="73" t="n">
        <f aca="false">F39-F40</f>
        <v>15833.3798528292</v>
      </c>
      <c r="G41" s="73" t="n">
        <f aca="false">G39-G40</f>
        <v>16709.4653054162</v>
      </c>
      <c r="H41" s="73" t="n">
        <f aca="false">H39-H40</f>
        <v>16380.166595472</v>
      </c>
      <c r="I41" s="73" t="n">
        <f aca="false">I39-I40</f>
        <v>16767.5276278592</v>
      </c>
      <c r="J41" s="73" t="n">
        <f aca="false">J39-J40</f>
        <v>17368.8330294348</v>
      </c>
      <c r="K41" s="73" t="n">
        <f aca="false">K39-K40</f>
        <v>18512.7879477971</v>
      </c>
      <c r="L41" s="73" t="n">
        <f aca="false">L39-L40</f>
        <v>18235.2669714483</v>
      </c>
      <c r="M41" s="73" t="n">
        <f aca="false">M39-M40</f>
        <v>18560.2037430438</v>
      </c>
      <c r="N41" s="73" t="n">
        <f aca="false">N39-N40</f>
        <v>18490.1127625627</v>
      </c>
      <c r="O41" s="73" t="n">
        <f aca="false">O39-O40</f>
        <v>19037.2440364527</v>
      </c>
      <c r="P41" s="73" t="n">
        <f aca="false">P39-P40</f>
        <v>19615.2962288195</v>
      </c>
      <c r="Q41" s="73" t="n">
        <f aca="false">Q39-Q40</f>
        <v>22095.3513471789</v>
      </c>
      <c r="R41" s="73" t="n">
        <f aca="false">R39-R40</f>
        <v>22246.1209901301</v>
      </c>
      <c r="S41" s="73" t="n">
        <f aca="false">S39-S40</f>
        <v>23233.2134376219</v>
      </c>
      <c r="T41" s="73" t="n">
        <f aca="false">T39-T40</f>
        <v>22688.9434525719</v>
      </c>
      <c r="U41" s="73" t="n">
        <f aca="false">U39-U40</f>
        <v>23395.4232343014</v>
      </c>
      <c r="V41" s="73" t="n">
        <f aca="false">V39-V40</f>
        <v>23475.4715122083</v>
      </c>
      <c r="W41" s="73" t="n">
        <f aca="false">W39-W40</f>
        <v>23203.3281852803</v>
      </c>
      <c r="X41" s="73" t="n">
        <f aca="false">X39-X40</f>
        <v>23418.9830045889</v>
      </c>
      <c r="Y41" s="73" t="n">
        <f aca="false">Y39-Y40</f>
        <v>23710.5974705348</v>
      </c>
      <c r="Z41" s="73" t="n">
        <f aca="false">Z39-Z40</f>
        <v>23621.3238893215</v>
      </c>
      <c r="AA41" s="73" t="n">
        <f aca="false">AA39-AA40</f>
        <v>23851.0012134038</v>
      </c>
      <c r="AB41" s="73" t="n">
        <f aca="false">AB39-AB40</f>
        <v>24346.9104527707</v>
      </c>
    </row>
    <row r="42" customFormat="false" ht="15" hidden="false" customHeight="false" outlineLevel="0" collapsed="false">
      <c r="A42" s="28" t="s">
        <v>409</v>
      </c>
      <c r="B42" s="62" t="s">
        <v>1012</v>
      </c>
      <c r="C42" s="64" t="n">
        <f aca="false">SUM(E42:P42)</f>
        <v>0</v>
      </c>
      <c r="D42" s="64" t="n">
        <f aca="false">SUM(Q42:AB42)</f>
        <v>0</v>
      </c>
      <c r="E42" s="73" t="n">
        <f aca="false">E32/E38</f>
        <v>0</v>
      </c>
      <c r="F42" s="73" t="n">
        <f aca="false">F32/F38</f>
        <v>0</v>
      </c>
      <c r="G42" s="73" t="n">
        <f aca="false">G32/G38</f>
        <v>0</v>
      </c>
      <c r="H42" s="73" t="n">
        <f aca="false">H32/H38</f>
        <v>0</v>
      </c>
      <c r="I42" s="73" t="n">
        <f aca="false">I32/I38</f>
        <v>0</v>
      </c>
      <c r="J42" s="73" t="n">
        <f aca="false">J32/J38</f>
        <v>0</v>
      </c>
      <c r="K42" s="73" t="n">
        <f aca="false">K32/K38</f>
        <v>0</v>
      </c>
      <c r="L42" s="73" t="n">
        <f aca="false">L32/L38</f>
        <v>0</v>
      </c>
      <c r="M42" s="73" t="n">
        <f aca="false">M32/M38</f>
        <v>0</v>
      </c>
      <c r="N42" s="73" t="n">
        <f aca="false">N32/N38</f>
        <v>0</v>
      </c>
      <c r="O42" s="73" t="n">
        <f aca="false">O32/O38</f>
        <v>0</v>
      </c>
      <c r="P42" s="73" t="n">
        <f aca="false">P32/P38</f>
        <v>0</v>
      </c>
      <c r="Q42" s="73" t="n">
        <f aca="false">Q32/Q38</f>
        <v>0</v>
      </c>
      <c r="R42" s="73" t="n">
        <f aca="false">R32/R38</f>
        <v>0</v>
      </c>
      <c r="S42" s="73" t="n">
        <f aca="false">S32/S38</f>
        <v>0</v>
      </c>
      <c r="T42" s="73" t="n">
        <f aca="false">T32/T38</f>
        <v>0</v>
      </c>
      <c r="U42" s="73" t="n">
        <f aca="false">U32/U38</f>
        <v>0</v>
      </c>
      <c r="V42" s="73" t="n">
        <f aca="false">V32/V38</f>
        <v>0</v>
      </c>
      <c r="W42" s="73" t="n">
        <f aca="false">W32/W38</f>
        <v>0</v>
      </c>
      <c r="X42" s="73" t="n">
        <f aca="false">X32/X38</f>
        <v>0</v>
      </c>
      <c r="Y42" s="73" t="n">
        <f aca="false">Y32/Y38</f>
        <v>0</v>
      </c>
      <c r="Z42" s="73" t="n">
        <f aca="false">Z32/Z38</f>
        <v>0</v>
      </c>
      <c r="AA42" s="73" t="n">
        <f aca="false">AA32/AA38</f>
        <v>0</v>
      </c>
      <c r="AB42" s="73" t="n">
        <f aca="false">AB32/AB38</f>
        <v>0</v>
      </c>
    </row>
    <row r="43" customFormat="false" ht="15" hidden="false" customHeight="false" outlineLevel="0" collapsed="false">
      <c r="A43" s="28" t="s">
        <v>412</v>
      </c>
      <c r="B43" s="62" t="s">
        <v>1012</v>
      </c>
      <c r="C43" s="64" t="n">
        <f aca="false">SUM(E43:P43)</f>
        <v>339924.141514432</v>
      </c>
      <c r="D43" s="64" t="n">
        <f aca="false">SUM(Q43:AB43)</f>
        <v>413553.876997442</v>
      </c>
      <c r="E43" s="73" t="n">
        <f aca="false">E33/E38</f>
        <v>27265.9027008605</v>
      </c>
      <c r="F43" s="73" t="n">
        <f aca="false">F33/F38</f>
        <v>26363.7063351095</v>
      </c>
      <c r="G43" s="73" t="n">
        <f aca="false">G33/G38</f>
        <v>25891.2268558574</v>
      </c>
      <c r="H43" s="73" t="n">
        <f aca="false">H33/H38</f>
        <v>25947.8257155062</v>
      </c>
      <c r="I43" s="73" t="n">
        <f aca="false">I33/I38</f>
        <v>25984.5369656472</v>
      </c>
      <c r="J43" s="73" t="n">
        <f aca="false">J33/J38</f>
        <v>28926.8125379873</v>
      </c>
      <c r="K43" s="73" t="n">
        <f aca="false">K33/K38</f>
        <v>30399.7722694228</v>
      </c>
      <c r="L43" s="73" t="n">
        <f aca="false">L33/L38</f>
        <v>30151.9106357285</v>
      </c>
      <c r="M43" s="73" t="n">
        <f aca="false">M33/M38</f>
        <v>29156.8029893831</v>
      </c>
      <c r="N43" s="73" t="n">
        <f aca="false">N33/N38</f>
        <v>29414.2165665902</v>
      </c>
      <c r="O43" s="73" t="n">
        <f aca="false">O33/O38</f>
        <v>29986.5902408908</v>
      </c>
      <c r="P43" s="73" t="n">
        <f aca="false">P33/P38</f>
        <v>30434.8377014479</v>
      </c>
      <c r="Q43" s="73" t="n">
        <f aca="false">Q33/Q38</f>
        <v>32467.9997034196</v>
      </c>
      <c r="R43" s="73" t="n">
        <f aca="false">R33/R38</f>
        <v>32938.9146636777</v>
      </c>
      <c r="S43" s="73" t="n">
        <f aca="false">S33/S38</f>
        <v>33478.1344546543</v>
      </c>
      <c r="T43" s="73" t="n">
        <f aca="false">T33/T38</f>
        <v>33640.7384009726</v>
      </c>
      <c r="U43" s="73" t="n">
        <f aca="false">U33/U38</f>
        <v>34197.8403709259</v>
      </c>
      <c r="V43" s="73" t="n">
        <f aca="false">V33/V38</f>
        <v>34383.5175897512</v>
      </c>
      <c r="W43" s="73" t="n">
        <f aca="false">W33/W38</f>
        <v>34588.569100481</v>
      </c>
      <c r="X43" s="73" t="n">
        <f aca="false">X33/X38</f>
        <v>34797.7950872142</v>
      </c>
      <c r="Y43" s="73" t="n">
        <f aca="false">Y33/Y38</f>
        <v>35212.7726526984</v>
      </c>
      <c r="Z43" s="73" t="n">
        <f aca="false">Z33/Z38</f>
        <v>35591.917320399</v>
      </c>
      <c r="AA43" s="73" t="n">
        <f aca="false">AA33/AA38</f>
        <v>35942.7019967296</v>
      </c>
      <c r="AB43" s="73" t="n">
        <f aca="false">AB33/AB38</f>
        <v>36312.9756565185</v>
      </c>
    </row>
    <row r="44" customFormat="false" ht="15" hidden="false" customHeight="false" outlineLevel="0" collapsed="false">
      <c r="A44" s="28" t="s">
        <v>564</v>
      </c>
      <c r="B44" s="62" t="s">
        <v>1012</v>
      </c>
      <c r="C44" s="64" t="n">
        <f aca="false">SUM(E44:P44)</f>
        <v>994952.490817297</v>
      </c>
      <c r="D44" s="64" t="n">
        <f aca="false">SUM(Q44:AB44)</f>
        <v>1190994.66419208</v>
      </c>
      <c r="E44" s="73" t="n">
        <f aca="false">E35/E38</f>
        <v>77180.9832154724</v>
      </c>
      <c r="F44" s="73" t="n">
        <f aca="false">F35/F38</f>
        <v>78954.1909836759</v>
      </c>
      <c r="G44" s="73" t="n">
        <f aca="false">G35/G38</f>
        <v>79649.1001903444</v>
      </c>
      <c r="H44" s="73" t="n">
        <f aca="false">H35/H38</f>
        <v>78257.7958137548</v>
      </c>
      <c r="I44" s="73" t="n">
        <f aca="false">I35/I38</f>
        <v>85444.3073759959</v>
      </c>
      <c r="J44" s="73" t="n">
        <f aca="false">J35/J38</f>
        <v>84994.0262221065</v>
      </c>
      <c r="K44" s="73" t="n">
        <f aca="false">K35/K38</f>
        <v>93711.4916352807</v>
      </c>
      <c r="L44" s="73" t="n">
        <f aca="false">L35/L38</f>
        <v>93729.3970499439</v>
      </c>
      <c r="M44" s="73" t="n">
        <f aca="false">M35/M38</f>
        <v>95713.6103026074</v>
      </c>
      <c r="N44" s="73" t="n">
        <f aca="false">N35/N38</f>
        <v>73230.1770793241</v>
      </c>
      <c r="O44" s="73" t="n">
        <f aca="false">O35/O38</f>
        <v>75966.2996255207</v>
      </c>
      <c r="P44" s="73" t="n">
        <f aca="false">P35/P38</f>
        <v>78121.11132327</v>
      </c>
      <c r="Q44" s="73" t="n">
        <f aca="false">Q35/Q38</f>
        <v>88830.5730550386</v>
      </c>
      <c r="R44" s="73" t="n">
        <f aca="false">R35/R38</f>
        <v>91265.5301141447</v>
      </c>
      <c r="S44" s="73" t="n">
        <f aca="false">S35/S38</f>
        <v>94299.5666182431</v>
      </c>
      <c r="T44" s="73" t="n">
        <f aca="false">T35/T38</f>
        <v>95077.7206740768</v>
      </c>
      <c r="U44" s="73" t="n">
        <f aca="false">U35/U38</f>
        <v>98007.4579626838</v>
      </c>
      <c r="V44" s="73" t="n">
        <f aca="false">V35/V38</f>
        <v>99129.5372315117</v>
      </c>
      <c r="W44" s="73" t="n">
        <f aca="false">W35/W38</f>
        <v>100067.584885833</v>
      </c>
      <c r="X44" s="73" t="n">
        <f aca="false">X35/X38</f>
        <v>101034.507568744</v>
      </c>
      <c r="Y44" s="73" t="n">
        <f aca="false">Y35/Y38</f>
        <v>102929.431786542</v>
      </c>
      <c r="Z44" s="73" t="n">
        <f aca="false">Z35/Z38</f>
        <v>104956.077359203</v>
      </c>
      <c r="AA44" s="73" t="n">
        <f aca="false">AA35/AA38</f>
        <v>106742.81813714</v>
      </c>
      <c r="AB44" s="73" t="n">
        <f aca="false">AB35/AB38</f>
        <v>108653.85879892</v>
      </c>
    </row>
    <row r="45" customFormat="false" ht="15" hidden="false" customHeight="false" outlineLevel="0" collapsed="false">
      <c r="A45" s="28" t="s">
        <v>1016</v>
      </c>
      <c r="B45" s="62" t="s">
        <v>1006</v>
      </c>
      <c r="C45" s="64" t="n">
        <f aca="false">SUM(E45:P45)</f>
        <v>113203.523703303</v>
      </c>
      <c r="D45" s="64" t="n">
        <f aca="false">SUM(Q45:AB45)</f>
        <v>167842.113701418</v>
      </c>
      <c r="E45" s="65" t="n">
        <f aca="false">IF(E$5="A",Inputs_Actuals!E87,E29*Assumptions!$C$151)</f>
        <v>8172.87</v>
      </c>
      <c r="F45" s="65" t="n">
        <f aca="false">IF(F$5="A",Inputs_Actuals!F87,F29*Assumptions!$C$151)</f>
        <v>8429.57</v>
      </c>
      <c r="G45" s="65" t="n">
        <f aca="false">IF(G$5="A",Inputs_Actuals!G87,G29*Assumptions!$C$151)</f>
        <v>8033.9</v>
      </c>
      <c r="H45" s="65" t="n">
        <f aca="false">IF(H$5="A",Inputs_Actuals!H87,H29*Assumptions!$C$151)</f>
        <v>8834.88</v>
      </c>
      <c r="I45" s="65" t="n">
        <f aca="false">IF(I$5="A",Inputs_Actuals!I87,I29*Assumptions!$C$151)</f>
        <v>9004.17</v>
      </c>
      <c r="J45" s="65" t="n">
        <f aca="false">IF(J$5="A",Inputs_Actuals!J87,J29*Assumptions!$C$151)</f>
        <v>9240.64</v>
      </c>
      <c r="K45" s="65" t="n">
        <f aca="false">IF(K$5="A",Inputs_Actuals!K87,K29*Assumptions!$C$151)</f>
        <v>9844.35</v>
      </c>
      <c r="L45" s="65" t="n">
        <f aca="false">IF(L$5="A",Inputs_Actuals!L87,L29*Assumptions!$C$151)</f>
        <v>9871.04</v>
      </c>
      <c r="M45" s="65" t="n">
        <f aca="false">IF(M$5="A",Inputs_Actuals!M87,M29*Assumptions!$C$151)</f>
        <v>9998.79700586248</v>
      </c>
      <c r="N45" s="65" t="n">
        <f aca="false">IF(N$5="A",Inputs_Actuals!N87,N29*Assumptions!$C$151)</f>
        <v>10170.8811115552</v>
      </c>
      <c r="O45" s="65" t="n">
        <f aca="false">IF(O$5="A",Inputs_Actuals!O87,O29*Assumptions!$C$151)</f>
        <v>10610.6259221481</v>
      </c>
      <c r="P45" s="65" t="n">
        <f aca="false">IF(P$5="A",Inputs_Actuals!P87,P29*Assumptions!$C$151)</f>
        <v>10991.7996637373</v>
      </c>
      <c r="Q45" s="65" t="n">
        <f aca="false">IF(Q$5="A",Inputs_Actuals!Q87,Q29*Assumptions!$C$151)</f>
        <v>12514.0722463055</v>
      </c>
      <c r="R45" s="65" t="n">
        <f aca="false">IF(R$5="A",Inputs_Actuals!R87,R29*Assumptions!$C$151)</f>
        <v>12861.9534597654</v>
      </c>
      <c r="S45" s="65" t="n">
        <f aca="false">IF(S$5="A",Inputs_Actuals!S87,S29*Assumptions!$C$151)</f>
        <v>13208.3483632183</v>
      </c>
      <c r="T45" s="65" t="n">
        <f aca="false">IF(T$5="A",Inputs_Actuals!T87,T29*Assumptions!$C$151)</f>
        <v>13350.8225394132</v>
      </c>
      <c r="U45" s="65" t="n">
        <f aca="false">IF(U$5="A",Inputs_Actuals!U87,U29*Assumptions!$C$151)</f>
        <v>13776.8785607132</v>
      </c>
      <c r="V45" s="65" t="n">
        <f aca="false">IF(V$5="A",Inputs_Actuals!V87,V29*Assumptions!$C$151)</f>
        <v>13899.4931066002</v>
      </c>
      <c r="W45" s="65" t="n">
        <f aca="false">IF(W$5="A",Inputs_Actuals!W87,W29*Assumptions!$C$151)</f>
        <v>14077.7959226185</v>
      </c>
      <c r="X45" s="65" t="n">
        <f aca="false">IF(X$5="A",Inputs_Actuals!X87,X29*Assumptions!$C$151)</f>
        <v>14239.4198105958</v>
      </c>
      <c r="Y45" s="65" t="n">
        <f aca="false">IF(Y$5="A",Inputs_Actuals!Y87,Y29*Assumptions!$C$151)</f>
        <v>14583.2671517294</v>
      </c>
      <c r="Z45" s="65" t="n">
        <f aca="false">IF(Z$5="A",Inputs_Actuals!Z87,Z29*Assumptions!$C$151)</f>
        <v>14845.8698719591</v>
      </c>
      <c r="AA45" s="65" t="n">
        <f aca="false">IF(AA$5="A",Inputs_Actuals!AA87,AA29*Assumptions!$C$151)</f>
        <v>15106.5440359835</v>
      </c>
      <c r="AB45" s="65" t="n">
        <f aca="false">IF(AB$5="A",Inputs_Actuals!AB87,AB29*Assumptions!$C$151)</f>
        <v>15377.6486325164</v>
      </c>
    </row>
    <row r="46" customFormat="false" ht="15" hidden="false" customHeight="false" outlineLevel="0" collapsed="false">
      <c r="A46" s="58" t="s">
        <v>1017</v>
      </c>
      <c r="B46" s="59" t="s">
        <v>1018</v>
      </c>
      <c r="C46" s="60" t="n">
        <f aca="false">SUM(E46:P46)</f>
        <v>1660045.07079136</v>
      </c>
      <c r="D46" s="60" t="n">
        <f aca="false">SUM(Q46:AB46)</f>
        <v>2051677.32308085</v>
      </c>
      <c r="E46" s="60" t="n">
        <f aca="false">E41+E42+E43+E44+E45</f>
        <v>129074.386571526</v>
      </c>
      <c r="F46" s="60" t="n">
        <f aca="false">F41+F42+F43+F44+F45</f>
        <v>129580.847171615</v>
      </c>
      <c r="G46" s="60" t="n">
        <f aca="false">G41+G42+G43+G44+G45</f>
        <v>130283.692351618</v>
      </c>
      <c r="H46" s="60" t="n">
        <f aca="false">H41+H42+H43+H44+H45</f>
        <v>129420.668124733</v>
      </c>
      <c r="I46" s="60" t="n">
        <f aca="false">I41+I42+I43+I44+I45</f>
        <v>137200.541969502</v>
      </c>
      <c r="J46" s="60" t="n">
        <f aca="false">J41+J42+J43+J44+J45</f>
        <v>140530.311789529</v>
      </c>
      <c r="K46" s="60" t="n">
        <f aca="false">K41+K42+K43+K44+K45</f>
        <v>152468.401852501</v>
      </c>
      <c r="L46" s="60" t="n">
        <f aca="false">L41+L42+L43+L44+L45</f>
        <v>151987.614657121</v>
      </c>
      <c r="M46" s="60" t="n">
        <f aca="false">M41+M42+M43+M44+M45</f>
        <v>153429.414040897</v>
      </c>
      <c r="N46" s="60" t="n">
        <f aca="false">N41+N42+N43+N44+N45</f>
        <v>131305.387520032</v>
      </c>
      <c r="O46" s="60" t="n">
        <f aca="false">O41+O42+O43+O44+O45</f>
        <v>135600.759825012</v>
      </c>
      <c r="P46" s="60" t="n">
        <f aca="false">P41+P42+P43+P44+P45</f>
        <v>139163.044917275</v>
      </c>
      <c r="Q46" s="60" t="n">
        <f aca="false">Q41+Q42+Q43+Q44+Q45</f>
        <v>155907.996351943</v>
      </c>
      <c r="R46" s="60" t="n">
        <f aca="false">R41+R42+R43+R44+R45</f>
        <v>159312.519227718</v>
      </c>
      <c r="S46" s="60" t="n">
        <f aca="false">S41+S42+S43+S44+S45</f>
        <v>164219.262873738</v>
      </c>
      <c r="T46" s="60" t="n">
        <f aca="false">T41+T42+T43+T44+T45</f>
        <v>164758.225067035</v>
      </c>
      <c r="U46" s="60" t="n">
        <f aca="false">U41+U42+U43+U44+U45</f>
        <v>169377.600128624</v>
      </c>
      <c r="V46" s="60" t="n">
        <f aca="false">V41+V42+V43+V44+V45</f>
        <v>170888.019440071</v>
      </c>
      <c r="W46" s="60" t="n">
        <f aca="false">W41+W42+W43+W44+W45</f>
        <v>171937.278094213</v>
      </c>
      <c r="X46" s="60" t="n">
        <f aca="false">X41+X42+X43+X44+X45</f>
        <v>173490.705471143</v>
      </c>
      <c r="Y46" s="60" t="n">
        <f aca="false">Y41+Y42+Y43+Y44+Y45</f>
        <v>176436.069061505</v>
      </c>
      <c r="Z46" s="60" t="n">
        <f aca="false">Z41+Z42+Z43+Z44+Z45</f>
        <v>179015.188440882</v>
      </c>
      <c r="AA46" s="60" t="n">
        <f aca="false">AA41+AA42+AA43+AA44+AA45</f>
        <v>181643.065383257</v>
      </c>
      <c r="AB46" s="60" t="n">
        <f aca="false">AB41+AB42+AB43+AB44+AB45</f>
        <v>184691.393540726</v>
      </c>
    </row>
    <row r="47" customFormat="false" ht="15" hidden="false" customHeight="false" outlineLevel="0" collapsed="false">
      <c r="A47" s="58" t="s">
        <v>1019</v>
      </c>
      <c r="B47" s="59"/>
      <c r="C47" s="60" t="n">
        <f aca="false">SUM(E47:P47)</f>
        <v>1684306.92614887</v>
      </c>
      <c r="D47" s="60" t="n">
        <f aca="false">SUM(Q47:AB47)</f>
        <v>2070427.81793726</v>
      </c>
      <c r="E47" s="60" t="n">
        <f aca="false">E46+E40</f>
        <v>132397.211824998</v>
      </c>
      <c r="F47" s="60" t="n">
        <f aca="false">F46+F40</f>
        <v>131481.037478643</v>
      </c>
      <c r="G47" s="60" t="n">
        <f aca="false">G46+G40</f>
        <v>133657.978560305</v>
      </c>
      <c r="H47" s="60" t="n">
        <f aca="false">H46+H40</f>
        <v>132232.299906023</v>
      </c>
      <c r="I47" s="60" t="n">
        <f aca="false">I46+I40</f>
        <v>140318.90485822</v>
      </c>
      <c r="J47" s="60" t="n">
        <f aca="false">J46+J40</f>
        <v>142666.558207867</v>
      </c>
      <c r="K47" s="60" t="n">
        <f aca="false">K46+K40</f>
        <v>154287.399837961</v>
      </c>
      <c r="L47" s="60" t="n">
        <f aca="false">L46+L40</f>
        <v>153775.465084103</v>
      </c>
      <c r="M47" s="60" t="n">
        <f aca="false">M46+M40</f>
        <v>154466.174443365</v>
      </c>
      <c r="N47" s="60" t="n">
        <f aca="false">N46+N40</f>
        <v>133065.471041165</v>
      </c>
      <c r="O47" s="60" t="n">
        <f aca="false">O46+O40</f>
        <v>136160.479934071</v>
      </c>
      <c r="P47" s="60" t="n">
        <f aca="false">P46+P40</f>
        <v>139797.944972151</v>
      </c>
      <c r="Q47" s="60" t="n">
        <f aca="false">Q46+Q40</f>
        <v>159125.390359383</v>
      </c>
      <c r="R47" s="60" t="n">
        <f aca="false">R46+R40</f>
        <v>159929.523074018</v>
      </c>
      <c r="S47" s="60" t="n">
        <f aca="false">S46+S40</f>
        <v>166298.794790735</v>
      </c>
      <c r="T47" s="60" t="n">
        <f aca="false">T46+T40</f>
        <v>166565.486796352</v>
      </c>
      <c r="U47" s="60" t="n">
        <f aca="false">U46+U40</f>
        <v>171294.922248942</v>
      </c>
      <c r="V47" s="60" t="n">
        <f aca="false">V46+V40</f>
        <v>171908.753109753</v>
      </c>
      <c r="W47" s="60" t="n">
        <f aca="false">W46+W40</f>
        <v>174046.695263552</v>
      </c>
      <c r="X47" s="60" t="n">
        <f aca="false">X46+X40</f>
        <v>175384.467821174</v>
      </c>
      <c r="Y47" s="60" t="n">
        <f aca="false">Y46+Y40</f>
        <v>177221.67677286</v>
      </c>
      <c r="Z47" s="60" t="n">
        <f aca="false">Z46+Z40</f>
        <v>180706.60990618</v>
      </c>
      <c r="AA47" s="60" t="n">
        <f aca="false">AA46+AA40</f>
        <v>182288.269351743</v>
      </c>
      <c r="AB47" s="60" t="n">
        <f aca="false">AB46+AB40</f>
        <v>185657.228442574</v>
      </c>
    </row>
    <row r="48" customFormat="false" ht="15" hidden="false" customHeight="false" outlineLevel="0" collapsed="false">
      <c r="A48" s="28" t="s">
        <v>1020</v>
      </c>
      <c r="B48" s="62"/>
      <c r="C48" s="66" t="n">
        <f aca="false">IF(Revenue!C15=0,0,C46/Revenue!C15)</f>
        <v>0.250942981017594</v>
      </c>
      <c r="D48" s="66" t="n">
        <f aca="false">IF(Revenue!D15=0,0,D46/Revenue!D15)</f>
        <v>0.236262962290188</v>
      </c>
      <c r="E48" s="63" t="n">
        <f aca="false">IF(Revenue!E15=0,0,E46/Revenue!E15)</f>
        <v>0.2599896737536</v>
      </c>
      <c r="F48" s="63" t="n">
        <f aca="false">IF(Revenue!F15=0,0,F46/Revenue!F15)</f>
        <v>0.272866577189361</v>
      </c>
      <c r="G48" s="63" t="n">
        <f aca="false">IF(Revenue!G15=0,0,G46/Revenue!G15)</f>
        <v>0.253875276271893</v>
      </c>
      <c r="H48" s="63" t="n">
        <f aca="false">IF(Revenue!H15=0,0,H46/Revenue!H15)</f>
        <v>0.264680177106543</v>
      </c>
      <c r="I48" s="63" t="n">
        <f aca="false">IF(Revenue!I15=0,0,I46/Revenue!I15)</f>
        <v>0.262043625865987</v>
      </c>
      <c r="J48" s="63" t="n">
        <f aca="false">IF(Revenue!J15=0,0,J46/Revenue!J15)</f>
        <v>0.24731399316506</v>
      </c>
      <c r="K48" s="63" t="n">
        <f aca="false">IF(Revenue!K15=0,0,K46/Revenue!K15)</f>
        <v>0.268948187344392</v>
      </c>
      <c r="L48" s="63" t="n">
        <f aca="false">IF(Revenue!L15=0,0,L46/Revenue!L15)</f>
        <v>0.264720331676942</v>
      </c>
      <c r="M48" s="63" t="n">
        <f aca="false">IF(Revenue!M15=0,0,M46/Revenue!M15)</f>
        <v>0.23184367024474</v>
      </c>
      <c r="N48" s="63" t="n">
        <f aca="false">IF(Revenue!N15=0,0,N46/Revenue!N15)</f>
        <v>0.233014817200244</v>
      </c>
      <c r="O48" s="63" t="n">
        <f aca="false">IF(Revenue!O15=0,0,O46/Revenue!O15)</f>
        <v>0.231530076014267</v>
      </c>
      <c r="P48" s="63" t="n">
        <f aca="false">IF(Revenue!P15=0,0,P46/Revenue!P15)</f>
        <v>0.232746352061828</v>
      </c>
      <c r="Q48" s="63" t="n">
        <f aca="false">IF(Revenue!Q15=0,0,Q46/Revenue!Q15)</f>
        <v>0.243197871028152</v>
      </c>
      <c r="R48" s="63" t="n">
        <f aca="false">IF(Revenue!R15=0,0,R46/Revenue!R15)</f>
        <v>0.251632694645865</v>
      </c>
      <c r="S48" s="63" t="n">
        <f aca="false">IF(Revenue!S15=0,0,S46/Revenue!S15)</f>
        <v>0.216767652843839</v>
      </c>
      <c r="T48" s="63" t="n">
        <f aca="false">IF(Revenue!T15=0,0,T46/Revenue!T15)</f>
        <v>0.249951550940807</v>
      </c>
      <c r="U48" s="63" t="n">
        <f aca="false">IF(Revenue!U15=0,0,U46/Revenue!U15)</f>
        <v>0.248487556539264</v>
      </c>
      <c r="V48" s="63" t="n">
        <f aca="false">IF(Revenue!V15=0,0,V46/Revenue!V15)</f>
        <v>0.21254311924502</v>
      </c>
      <c r="W48" s="63" t="n">
        <f aca="false">IF(Revenue!W15=0,0,W46/Revenue!W15)</f>
        <v>0.247907804902177</v>
      </c>
      <c r="X48" s="63" t="n">
        <f aca="false">IF(Revenue!X15=0,0,X46/Revenue!X15)</f>
        <v>0.244164346819349</v>
      </c>
      <c r="Y48" s="63" t="n">
        <f aca="false">IF(Revenue!Y15=0,0,Y46/Revenue!Y15)</f>
        <v>0.22960961249233</v>
      </c>
      <c r="Z48" s="63" t="n">
        <f aca="false">IF(Revenue!Z15=0,0,Z46/Revenue!Z15)</f>
        <v>0.22488315087969</v>
      </c>
      <c r="AA48" s="63" t="n">
        <f aca="false">IF(Revenue!AA15=0,0,AA46/Revenue!AA15)</f>
        <v>0.231951924852131</v>
      </c>
      <c r="AB48" s="63" t="n">
        <f aca="false">IF(Revenue!AB15=0,0,AB46/Revenue!AB15)</f>
        <v>0.244421479891961</v>
      </c>
    </row>
    <row r="49" customFormat="false" ht="15" hidden="false" customHeight="false" outlineLevel="0" collapsed="false">
      <c r="A49" s="22" t="s">
        <v>1021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customFormat="false" ht="15" hidden="false" customHeight="false" outlineLevel="0" collapsed="false">
      <c r="A50" s="28" t="s">
        <v>1022</v>
      </c>
      <c r="B50" s="62"/>
      <c r="C50" s="66" t="n">
        <f aca="false">IF(C47=0,0,(C39+C42+C43)/C47)</f>
        <v>0.342070024580156</v>
      </c>
      <c r="D50" s="66" t="n">
        <f aca="false">IF(D47=0,0,(D39+D42+D43)/D47)</f>
        <v>0.343692754646579</v>
      </c>
      <c r="E50" s="75" t="n">
        <f aca="false">IF(E47=0,0,(E39+E42+E43)/E47)</f>
        <v>0.355319858787564</v>
      </c>
      <c r="F50" s="75" t="n">
        <f aca="false">IF(F47=0,0,(F39+F42+F43)/F47)</f>
        <v>0.335388869304672</v>
      </c>
      <c r="G50" s="75" t="n">
        <f aca="false">IF(G47=0,0,(G39+G42+G43)/G47)</f>
        <v>0.343974814411973</v>
      </c>
      <c r="H50" s="75" t="n">
        <f aca="false">IF(H47=0,0,(H39+H42+H43)/H47)</f>
        <v>0.34136609681862</v>
      </c>
      <c r="I50" s="75" t="n">
        <f aca="false">IF(I47=0,0,(I39+I42+I43)/I47)</f>
        <v>0.326901264862151</v>
      </c>
      <c r="J50" s="75" t="n">
        <f aca="false">IF(J47=0,0,(J39+J42+J43)/J47)</f>
        <v>0.339476136483186</v>
      </c>
      <c r="K50" s="75" t="n">
        <f aca="false">IF(K47=0,0,(K39+K42+K43)/K47)</f>
        <v>0.328812062786466</v>
      </c>
      <c r="L50" s="75" t="n">
        <f aca="false">IF(L47=0,0,(L39+L42+L43)/L47)</f>
        <v>0.326287603856161</v>
      </c>
      <c r="M50" s="75" t="n">
        <f aca="false">IF(M47=0,0,(M39+M42+M43)/M47)</f>
        <v>0.31562746543432</v>
      </c>
      <c r="N50" s="75" t="n">
        <f aca="false">IF(N47=0,0,(N39+N42+N43)/N47)</f>
        <v>0.373232909046115</v>
      </c>
      <c r="O50" s="75" t="n">
        <f aca="false">IF(O47=0,0,(O39+O42+O43)/O47)</f>
        <v>0.364155255698355</v>
      </c>
      <c r="P50" s="75" t="n">
        <f aca="false">IF(P47=0,0,(P39+P42+P43)/P47)</f>
        <v>0.362559220704141</v>
      </c>
      <c r="Q50" s="75" t="n">
        <f aca="false">IF(Q47=0,0,(Q39+Q42+Q43)/Q47)</f>
        <v>0.363114553419424</v>
      </c>
      <c r="R50" s="75" t="n">
        <f aca="false">IF(R47=0,0,(R39+R42+R43)/R47)</f>
        <v>0.348916437862957</v>
      </c>
      <c r="S50" s="75" t="n">
        <f aca="false">IF(S47=0,0,(S39+S42+S43)/S47)</f>
        <v>0.353525591591052</v>
      </c>
      <c r="T50" s="75" t="n">
        <f aca="false">IF(T47=0,0,(T39+T42+T43)/T47)</f>
        <v>0.349033552514646</v>
      </c>
      <c r="U50" s="75" t="n">
        <f aca="false">IF(U47=0,0,(U39+U42+U43)/U47)</f>
        <v>0.34741593588547</v>
      </c>
      <c r="V50" s="75" t="n">
        <f aca="false">IF(V47=0,0,(V39+V42+V43)/V47)</f>
        <v>0.342505670633594</v>
      </c>
      <c r="W50" s="75" t="n">
        <f aca="false">IF(W47=0,0,(W39+W42+W43)/W47)</f>
        <v>0.344168065727385</v>
      </c>
      <c r="X50" s="75" t="n">
        <f aca="false">IF(X47=0,0,(X39+X42+X43)/X47)</f>
        <v>0.342735825974759</v>
      </c>
      <c r="Y50" s="75" t="n">
        <f aca="false">IF(Y47=0,0,(Y39+Y42+Y43)/Y47)</f>
        <v>0.336916899342485</v>
      </c>
      <c r="Z50" s="75" t="n">
        <f aca="false">IF(Z47=0,0,(Z39+Z42+Z43)/Z47)</f>
        <v>0.337036164347496</v>
      </c>
      <c r="AA50" s="75" t="n">
        <f aca="false">IF(AA47=0,0,(AA39+AA42+AA43)/AA47)</f>
        <v>0.331556755646171</v>
      </c>
      <c r="AB50" s="75" t="n">
        <f aca="false">IF(AB47=0,0,(AB39+AB42+AB43)/AB47)</f>
        <v>0.331932785639959</v>
      </c>
    </row>
    <row r="51" customFormat="false" ht="15" hidden="false" customHeight="false" outlineLevel="0" collapsed="false">
      <c r="A51" s="28" t="s">
        <v>564</v>
      </c>
      <c r="B51" s="62"/>
      <c r="C51" s="66" t="n">
        <f aca="false">IF(C47=0,0,C44/C47)</f>
        <v>0.590719230189377</v>
      </c>
      <c r="D51" s="66" t="n">
        <f aca="false">IF(D47=0,0,D44/D47)</f>
        <v>0.575240853061302</v>
      </c>
      <c r="E51" s="75" t="n">
        <f aca="false">IF(E47=0,0,E44/E47)</f>
        <v>0.582950215881358</v>
      </c>
      <c r="F51" s="75" t="n">
        <f aca="false">IF(F47=0,0,F44/F47)</f>
        <v>0.600498691657347</v>
      </c>
      <c r="G51" s="75" t="n">
        <f aca="false">IF(G47=0,0,G44/G47)</f>
        <v>0.595917288651854</v>
      </c>
      <c r="H51" s="75" t="n">
        <f aca="false">IF(H47=0,0,H44/H47)</f>
        <v>0.591820575376608</v>
      </c>
      <c r="I51" s="75" t="n">
        <f aca="false">IF(I47=0,0,I44/I47)</f>
        <v>0.608929405929515</v>
      </c>
      <c r="J51" s="75" t="n">
        <f aca="false">IF(J47=0,0,J44/J47)</f>
        <v>0.595752973154853</v>
      </c>
      <c r="K51" s="75" t="n">
        <f aca="false">IF(K47=0,0,K44/K47)</f>
        <v>0.60738266205601</v>
      </c>
      <c r="L51" s="75" t="n">
        <f aca="false">IF(L47=0,0,L44/L47)</f>
        <v>0.609521141741836</v>
      </c>
      <c r="M51" s="75" t="n">
        <f aca="false">IF(M47=0,0,M44/M47)</f>
        <v>0.619641229851918</v>
      </c>
      <c r="N51" s="75" t="n">
        <f aca="false">IF(N47=0,0,N44/N47)</f>
        <v>0.550331926880338</v>
      </c>
      <c r="O51" s="75" t="n">
        <f aca="false">IF(O47=0,0,O44/O47)</f>
        <v>0.557917390290513</v>
      </c>
      <c r="P51" s="75" t="n">
        <f aca="false">IF(P47=0,0,P44/P47)</f>
        <v>0.558814447085275</v>
      </c>
      <c r="Q51" s="75" t="n">
        <f aca="false">IF(Q47=0,0,Q44/Q47)</f>
        <v>0.558242608891113</v>
      </c>
      <c r="R51" s="75" t="n">
        <f aca="false">IF(R47=0,0,R44/R47)</f>
        <v>0.570660928388472</v>
      </c>
      <c r="S51" s="75" t="n">
        <f aca="false">IF(S47=0,0,S44/S47)</f>
        <v>0.567049008003375</v>
      </c>
      <c r="T51" s="75" t="n">
        <f aca="false">IF(T47=0,0,T44/T47)</f>
        <v>0.570812852666901</v>
      </c>
      <c r="U51" s="75" t="n">
        <f aca="false">IF(U47=0,0,U44/U47)</f>
        <v>0.572156236016442</v>
      </c>
      <c r="V51" s="75" t="n">
        <f aca="false">IF(V47=0,0,V44/V47)</f>
        <v>0.576640429520328</v>
      </c>
      <c r="W51" s="75" t="n">
        <f aca="false">IF(W47=0,0,W44/W47)</f>
        <v>0.574946767787259</v>
      </c>
      <c r="X51" s="75" t="n">
        <f aca="false">IF(X47=0,0,X44/X47)</f>
        <v>0.576074431355927</v>
      </c>
      <c r="Y51" s="75" t="n">
        <f aca="false">IF(Y47=0,0,Y44/Y47)</f>
        <v>0.580794819577653</v>
      </c>
      <c r="Z51" s="75" t="n">
        <f aca="false">IF(Z47=0,0,Z44/Z47)</f>
        <v>0.580809287572238</v>
      </c>
      <c r="AA51" s="75" t="n">
        <f aca="false">IF(AA47=0,0,AA44/AA47)</f>
        <v>0.585571515472395</v>
      </c>
      <c r="AB51" s="75" t="n">
        <f aca="false">IF(AB47=0,0,AB44/AB47)</f>
        <v>0.585239043534078</v>
      </c>
    </row>
    <row r="52" customFormat="false" ht="15" hidden="false" customHeight="false" outlineLevel="0" collapsed="false">
      <c r="A52" s="28" t="s">
        <v>565</v>
      </c>
      <c r="B52" s="62"/>
      <c r="C52" s="66" t="n">
        <f aca="false">IF(C47=0,0,C45/C47)</f>
        <v>0.0672107452304672</v>
      </c>
      <c r="D52" s="66" t="n">
        <f aca="false">IF(D47=0,0,D45/D47)</f>
        <v>0.0810663922921191</v>
      </c>
      <c r="E52" s="75" t="n">
        <f aca="false">IF(E47=0,0,E45/E47)</f>
        <v>0.0617299253310777</v>
      </c>
      <c r="F52" s="75" t="n">
        <f aca="false">IF(F47=0,0,F45/F47)</f>
        <v>0.0641124390379809</v>
      </c>
      <c r="G52" s="75" t="n">
        <f aca="false">IF(G47=0,0,G45/G47)</f>
        <v>0.0601078969361729</v>
      </c>
      <c r="H52" s="75" t="n">
        <f aca="false">IF(H47=0,0,H45/H47)</f>
        <v>0.0668133278047717</v>
      </c>
      <c r="I52" s="75" t="n">
        <f aca="false">IF(I47=0,0,I45/I47)</f>
        <v>0.064169329208334</v>
      </c>
      <c r="J52" s="75" t="n">
        <f aca="false">IF(J47=0,0,J45/J47)</f>
        <v>0.0647708903619606</v>
      </c>
      <c r="K52" s="75" t="n">
        <f aca="false">IF(K47=0,0,K45/K47)</f>
        <v>0.0638052751575239</v>
      </c>
      <c r="L52" s="75" t="n">
        <f aca="false">IF(L47=0,0,L45/L47)</f>
        <v>0.0641912544020033</v>
      </c>
      <c r="M52" s="75" t="n">
        <f aca="false">IF(M47=0,0,M45/M47)</f>
        <v>0.0647313047137615</v>
      </c>
      <c r="N52" s="75" t="n">
        <f aca="false">IF(N47=0,0,N45/N47)</f>
        <v>0.0764351640735466</v>
      </c>
      <c r="O52" s="75" t="n">
        <f aca="false">IF(O47=0,0,O45/O47)</f>
        <v>0.0779273540111323</v>
      </c>
      <c r="P52" s="75" t="n">
        <f aca="false">IF(P47=0,0,P45/P47)</f>
        <v>0.0786263322105845</v>
      </c>
      <c r="Q52" s="75" t="n">
        <f aca="false">IF(Q47=0,0,Q45/Q47)</f>
        <v>0.0786428376894634</v>
      </c>
      <c r="R52" s="75" t="n">
        <f aca="false">IF(R47=0,0,R45/R47)</f>
        <v>0.0804226337485712</v>
      </c>
      <c r="S52" s="75" t="n">
        <f aca="false">IF(S47=0,0,S45/S47)</f>
        <v>0.0794254004055727</v>
      </c>
      <c r="T52" s="75" t="n">
        <f aca="false">IF(T47=0,0,T45/T47)</f>
        <v>0.080153594818453</v>
      </c>
      <c r="U52" s="75" t="n">
        <f aca="false">IF(U47=0,0,U45/U47)</f>
        <v>0.0804278280980874</v>
      </c>
      <c r="V52" s="75" t="n">
        <f aca="false">IF(V47=0,0,V45/V47)</f>
        <v>0.0808538998460787</v>
      </c>
      <c r="W52" s="75" t="n">
        <f aca="false">IF(W47=0,0,W45/W47)</f>
        <v>0.0808851664853564</v>
      </c>
      <c r="X52" s="75" t="n">
        <f aca="false">IF(X47=0,0,X45/X47)</f>
        <v>0.081189742669315</v>
      </c>
      <c r="Y52" s="75" t="n">
        <f aca="false">IF(Y47=0,0,Y45/Y47)</f>
        <v>0.0822882810798614</v>
      </c>
      <c r="Z52" s="75" t="n">
        <f aca="false">IF(Z47=0,0,Z45/Z47)</f>
        <v>0.082154548080266</v>
      </c>
      <c r="AA52" s="75" t="n">
        <f aca="false">IF(AA47=0,0,AA45/AA47)</f>
        <v>0.0828717288814345</v>
      </c>
      <c r="AB52" s="75" t="n">
        <f aca="false">IF(AB47=0,0,AB45/AB47)</f>
        <v>0.082828170825963</v>
      </c>
    </row>
    <row r="53" customFormat="false" ht="15" hidden="false" customHeight="false" outlineLevel="0" collapsed="false">
      <c r="A53" s="28" t="s">
        <v>1023</v>
      </c>
      <c r="B53" s="62"/>
      <c r="C53" s="66" t="n">
        <f aca="false">IF(Revenue!C15=0,0,(Revenue!C21+Revenue!C22)/Revenue!C15)</f>
        <v>0.564858294560617</v>
      </c>
      <c r="D53" s="66" t="n">
        <f aca="false">IF(Revenue!D15=0,0,(Revenue!D21+Revenue!D22)/Revenue!D15)</f>
        <v>0.562503703950167</v>
      </c>
      <c r="E53" s="63" t="n">
        <f aca="false">IF(Revenue!E15=0,0,(Revenue!E21+Revenue!E22)/Revenue!E15)</f>
        <v>0.560512465690418</v>
      </c>
      <c r="F53" s="63" t="n">
        <f aca="false">IF(Revenue!F15=0,0,(Revenue!F21+Revenue!F22)/Revenue!F15)</f>
        <v>0.569547757655629</v>
      </c>
      <c r="G53" s="63" t="n">
        <f aca="false">IF(Revenue!G15=0,0,(Revenue!G21+Revenue!G22)/Revenue!G15)</f>
        <v>0.576538204158614</v>
      </c>
      <c r="H53" s="63" t="n">
        <f aca="false">IF(Revenue!H15=0,0,(Revenue!H21+Revenue!H22)/Revenue!H15)</f>
        <v>0.559617270111499</v>
      </c>
      <c r="I53" s="63" t="n">
        <f aca="false">IF(Revenue!I15=0,0,(Revenue!I21+Revenue!I22)/Revenue!I15)</f>
        <v>0.562535349835453</v>
      </c>
      <c r="J53" s="63" t="n">
        <f aca="false">IF(Revenue!J15=0,0,(Revenue!J21+Revenue!J22)/Revenue!J15)</f>
        <v>0.554352993280816</v>
      </c>
      <c r="K53" s="63" t="n">
        <f aca="false">IF(Revenue!K15=0,0,(Revenue!K21+Revenue!K22)/Revenue!K15)</f>
        <v>0.574212443041235</v>
      </c>
      <c r="L53" s="63" t="n">
        <f aca="false">IF(Revenue!L15=0,0,(Revenue!L21+Revenue!L22)/Revenue!L15)</f>
        <v>0.586132947506421</v>
      </c>
      <c r="M53" s="63" t="n">
        <f aca="false">IF(Revenue!M15=0,0,(Revenue!M21+Revenue!M22)/Revenue!M15)</f>
        <v>0.541579160063812</v>
      </c>
      <c r="N53" s="63" t="n">
        <f aca="false">IF(Revenue!N15=0,0,(Revenue!N21+Revenue!N22)/Revenue!N15)</f>
        <v>0.567046834717258</v>
      </c>
      <c r="O53" s="63" t="n">
        <f aca="false">IF(Revenue!O15=0,0,(Revenue!O21+Revenue!O22)/Revenue!O15)</f>
        <v>0.565690911272444</v>
      </c>
      <c r="P53" s="63" t="n">
        <f aca="false">IF(Revenue!P15=0,0,(Revenue!P21+Revenue!P22)/Revenue!P15)</f>
        <v>0.564610973963746</v>
      </c>
      <c r="Q53" s="63" t="n">
        <f aca="false">IF(Revenue!Q15=0,0,(Revenue!Q21+Revenue!Q22)/Revenue!Q15)</f>
        <v>0.559786048733785</v>
      </c>
      <c r="R53" s="63" t="n">
        <f aca="false">IF(Revenue!R15=0,0,(Revenue!R21+Revenue!R22)/Revenue!R15)</f>
        <v>0.563645602539741</v>
      </c>
      <c r="S53" s="63" t="n">
        <f aca="false">IF(Revenue!S15=0,0,(Revenue!S21+Revenue!S22)/Revenue!S15)</f>
        <v>0.554468268960627</v>
      </c>
      <c r="T53" s="63" t="n">
        <f aca="false">IF(Revenue!T15=0,0,(Revenue!T21+Revenue!T22)/Revenue!T15)</f>
        <v>0.564204268301158</v>
      </c>
      <c r="U53" s="63" t="n">
        <f aca="false">IF(Revenue!U15=0,0,(Revenue!U21+Revenue!U22)/Revenue!U15)</f>
        <v>0.563545691554595</v>
      </c>
      <c r="V53" s="63" t="n">
        <f aca="false">IF(Revenue!V15=0,0,(Revenue!V21+Revenue!V22)/Revenue!V15)</f>
        <v>0.588303890940016</v>
      </c>
      <c r="W53" s="63" t="n">
        <f aca="false">IF(Revenue!W15=0,0,(Revenue!W21+Revenue!W22)/Revenue!W15)</f>
        <v>0.563588823488445</v>
      </c>
      <c r="X53" s="63" t="n">
        <f aca="false">IF(Revenue!X15=0,0,(Revenue!X21+Revenue!X22)/Revenue!X15)</f>
        <v>0.568021784823411</v>
      </c>
      <c r="Y53" s="63" t="n">
        <f aca="false">IF(Revenue!Y15=0,0,(Revenue!Y21+Revenue!Y22)/Revenue!Y15)</f>
        <v>0.551458620804418</v>
      </c>
      <c r="Z53" s="63" t="n">
        <f aca="false">IF(Revenue!Z15=0,0,(Revenue!Z21+Revenue!Z22)/Revenue!Z15)</f>
        <v>0.557041737093621</v>
      </c>
      <c r="AA53" s="63" t="n">
        <f aca="false">IF(Revenue!AA15=0,0,(Revenue!AA21+Revenue!AA22)/Revenue!AA15)</f>
        <v>0.553695202356608</v>
      </c>
      <c r="AB53" s="63" t="n">
        <f aca="false">IF(Revenue!AB15=0,0,(Revenue!AB21+Revenue!AB22)/Revenue!AB15)</f>
        <v>0.56196310914005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1024</v>
      </c>
    </row>
    <row r="3" customFormat="false" ht="15" hidden="false" customHeight="false" outlineLevel="0" collapsed="false">
      <c r="A3" s="49" t="s">
        <v>1025</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1026</v>
      </c>
      <c r="B8" s="62" t="s">
        <v>86</v>
      </c>
      <c r="C8" s="64" t="n">
        <f aca="false">P8</f>
        <v>780000</v>
      </c>
      <c r="D8" s="64" t="n">
        <f aca="false">AB8</f>
        <v>800000</v>
      </c>
      <c r="E8" s="65" t="n">
        <f aca="false">Assumptions!E$221</f>
        <v>780000</v>
      </c>
      <c r="F8" s="65" t="n">
        <f aca="false">Assumptions!F$221</f>
        <v>780000</v>
      </c>
      <c r="G8" s="65" t="n">
        <f aca="false">Assumptions!G$221</f>
        <v>780000</v>
      </c>
      <c r="H8" s="65" t="n">
        <f aca="false">Assumptions!H$221</f>
        <v>780000</v>
      </c>
      <c r="I8" s="65" t="n">
        <f aca="false">Assumptions!I$221</f>
        <v>780000</v>
      </c>
      <c r="J8" s="65" t="n">
        <f aca="false">Assumptions!J$221</f>
        <v>780000</v>
      </c>
      <c r="K8" s="65" t="n">
        <f aca="false">Assumptions!K$221</f>
        <v>780000</v>
      </c>
      <c r="L8" s="65" t="n">
        <f aca="false">Assumptions!L$221</f>
        <v>780000</v>
      </c>
      <c r="M8" s="65" t="n">
        <f aca="false">Assumptions!M$221</f>
        <v>780000</v>
      </c>
      <c r="N8" s="65" t="n">
        <f aca="false">Assumptions!N$221</f>
        <v>780000</v>
      </c>
      <c r="O8" s="65" t="n">
        <f aca="false">Assumptions!O$221</f>
        <v>780000</v>
      </c>
      <c r="P8" s="65" t="n">
        <f aca="false">Assumptions!P$221</f>
        <v>780000</v>
      </c>
      <c r="Q8" s="65" t="n">
        <f aca="false">Assumptions!Q$221</f>
        <v>800000</v>
      </c>
      <c r="R8" s="65" t="n">
        <f aca="false">Assumptions!R$221</f>
        <v>800000</v>
      </c>
      <c r="S8" s="65" t="n">
        <f aca="false">Assumptions!S$221</f>
        <v>800000</v>
      </c>
      <c r="T8" s="65" t="n">
        <f aca="false">Assumptions!T$221</f>
        <v>800000</v>
      </c>
      <c r="U8" s="65" t="n">
        <f aca="false">Assumptions!U$221</f>
        <v>800000</v>
      </c>
      <c r="V8" s="65" t="n">
        <f aca="false">Assumptions!V$221</f>
        <v>800000</v>
      </c>
      <c r="W8" s="65" t="n">
        <f aca="false">Assumptions!W$221</f>
        <v>800000</v>
      </c>
      <c r="X8" s="65" t="n">
        <f aca="false">Assumptions!X$221</f>
        <v>800000</v>
      </c>
      <c r="Y8" s="65" t="n">
        <f aca="false">Assumptions!Y$221</f>
        <v>800000</v>
      </c>
      <c r="Z8" s="65" t="n">
        <f aca="false">Assumptions!Z$221</f>
        <v>800000</v>
      </c>
      <c r="AA8" s="65" t="n">
        <f aca="false">Assumptions!AA$221</f>
        <v>800000</v>
      </c>
      <c r="AB8" s="65" t="n">
        <f aca="false">Assumptions!AB$221</f>
        <v>800000</v>
      </c>
    </row>
    <row r="9" customFormat="false" ht="15" hidden="false" customHeight="false" outlineLevel="0" collapsed="false">
      <c r="A9" s="28" t="s">
        <v>1027</v>
      </c>
      <c r="B9" s="62" t="s">
        <v>53</v>
      </c>
      <c r="C9" s="64" t="n">
        <f aca="false">SUM(E9:P9)</f>
        <v>666491.142567315</v>
      </c>
      <c r="D9" s="64" t="n">
        <f aca="false">SUM(Q9:AB9)</f>
        <v>815696.809202168</v>
      </c>
      <c r="E9" s="65" t="n">
        <f aca="false">Usage_Compute!E34</f>
        <v>55214.79</v>
      </c>
      <c r="F9" s="65" t="n">
        <f aca="false">Usage_Compute!F34</f>
        <v>52136.21</v>
      </c>
      <c r="G9" s="65" t="n">
        <f aca="false">Usage_Compute!G34</f>
        <v>53137.88</v>
      </c>
      <c r="H9" s="65" t="n">
        <f aca="false">Usage_Compute!H34</f>
        <v>52835.93</v>
      </c>
      <c r="I9" s="65" t="n">
        <f aca="false">Usage_Compute!I34</f>
        <v>53544.55</v>
      </c>
      <c r="J9" s="65" t="n">
        <f aca="false">Usage_Compute!J34</f>
        <v>55779.01</v>
      </c>
      <c r="K9" s="65" t="n">
        <f aca="false">Usage_Compute!K34</f>
        <v>57920.22</v>
      </c>
      <c r="L9" s="65" t="n">
        <f aca="false">Usage_Compute!L34</f>
        <v>58167.91</v>
      </c>
      <c r="M9" s="65" t="n">
        <f aca="false">Usage_Compute!M34</f>
        <v>55886.4432667298</v>
      </c>
      <c r="N9" s="65" t="n">
        <f aca="false">Usage_Compute!N34</f>
        <v>56930.3164502823</v>
      </c>
      <c r="O9" s="65" t="n">
        <f aca="false">Usage_Compute!O34</f>
        <v>56837.6283931332</v>
      </c>
      <c r="P9" s="65" t="n">
        <f aca="false">Usage_Compute!P34</f>
        <v>58100.2544571698</v>
      </c>
      <c r="Q9" s="65" t="n">
        <f aca="false">Usage_Compute!Q34</f>
        <v>66234.0680600299</v>
      </c>
      <c r="R9" s="65" t="n">
        <f aca="false">Usage_Compute!R34</f>
        <v>63965.8778789737</v>
      </c>
      <c r="S9" s="65" t="n">
        <f aca="false">Usage_Compute!S34</f>
        <v>67391.9855253702</v>
      </c>
      <c r="T9" s="65" t="n">
        <f aca="false">Usage_Compute!T34</f>
        <v>66642.3784290349</v>
      </c>
      <c r="U9" s="65" t="n">
        <f aca="false">Usage_Compute!U34</f>
        <v>68216.9844171923</v>
      </c>
      <c r="V9" s="65" t="n">
        <f aca="false">Usage_Compute!V34</f>
        <v>67493.8262131318</v>
      </c>
      <c r="W9" s="65" t="n">
        <f aca="false">Usage_Compute!W34</f>
        <v>68664.8767598813</v>
      </c>
      <c r="X9" s="65" t="n">
        <f aca="false">Usage_Compute!X34</f>
        <v>68904.7125084737</v>
      </c>
      <c r="Y9" s="65" t="n">
        <f aca="false">Usage_Compute!Y34</f>
        <v>68444.4012917882</v>
      </c>
      <c r="Z9" s="65" t="n">
        <f aca="false">Usage_Compute!Z34</f>
        <v>69815.0148243733</v>
      </c>
      <c r="AA9" s="65" t="n">
        <f aca="false">Usage_Compute!AA34</f>
        <v>69281.1192988511</v>
      </c>
      <c r="AB9" s="65" t="n">
        <f aca="false">Usage_Compute!AB34</f>
        <v>70641.5639950672</v>
      </c>
    </row>
    <row r="10" customFormat="false" ht="15" hidden="false" customHeight="false" outlineLevel="0" collapsed="false">
      <c r="A10" s="28" t="s">
        <v>1028</v>
      </c>
      <c r="B10" s="62"/>
      <c r="C10" s="64" t="n">
        <f aca="false">P10</f>
        <v>666491.142567315</v>
      </c>
      <c r="D10" s="64" t="n">
        <f aca="false">AB10</f>
        <v>815696.809202168</v>
      </c>
      <c r="E10" s="65" t="n">
        <f aca="false">SUMIFS(Commitments!$E$9:$AB$9,Assumptions!$E$206:$AB$206,Assumptions!E$206,Assumptions!$E$204:$AB$204,"&lt;="&amp;Assumptions!E$204)</f>
        <v>55214.79</v>
      </c>
      <c r="F10" s="65" t="n">
        <f aca="false">SUMIFS(Commitments!$E$9:$AB$9,Assumptions!$E$206:$AB$206,Assumptions!F$206,Assumptions!$E$204:$AB$204,"&lt;="&amp;Assumptions!F$204)</f>
        <v>107351</v>
      </c>
      <c r="G10" s="65" t="n">
        <f aca="false">SUMIFS(Commitments!$E$9:$AB$9,Assumptions!$E$206:$AB$206,Assumptions!G$206,Assumptions!$E$204:$AB$204,"&lt;="&amp;Assumptions!G$204)</f>
        <v>160488.88</v>
      </c>
      <c r="H10" s="65" t="n">
        <f aca="false">SUMIFS(Commitments!$E$9:$AB$9,Assumptions!$E$206:$AB$206,Assumptions!H$206,Assumptions!$E$204:$AB$204,"&lt;="&amp;Assumptions!H$204)</f>
        <v>213324.81</v>
      </c>
      <c r="I10" s="65" t="n">
        <f aca="false">SUMIFS(Commitments!$E$9:$AB$9,Assumptions!$E$206:$AB$206,Assumptions!I$206,Assumptions!$E$204:$AB$204,"&lt;="&amp;Assumptions!I$204)</f>
        <v>266869.36</v>
      </c>
      <c r="J10" s="65" t="n">
        <f aca="false">SUMIFS(Commitments!$E$9:$AB$9,Assumptions!$E$206:$AB$206,Assumptions!J$206,Assumptions!$E$204:$AB$204,"&lt;="&amp;Assumptions!J$204)</f>
        <v>322648.37</v>
      </c>
      <c r="K10" s="65" t="n">
        <f aca="false">SUMIFS(Commitments!$E$9:$AB$9,Assumptions!$E$206:$AB$206,Assumptions!K$206,Assumptions!$E$204:$AB$204,"&lt;="&amp;Assumptions!K$204)</f>
        <v>380568.59</v>
      </c>
      <c r="L10" s="65" t="n">
        <f aca="false">SUMIFS(Commitments!$E$9:$AB$9,Assumptions!$E$206:$AB$206,Assumptions!L$206,Assumptions!$E$204:$AB$204,"&lt;="&amp;Assumptions!L$204)</f>
        <v>438736.5</v>
      </c>
      <c r="M10" s="65" t="n">
        <f aca="false">SUMIFS(Commitments!$E$9:$AB$9,Assumptions!$E$206:$AB$206,Assumptions!M$206,Assumptions!$E$204:$AB$204,"&lt;="&amp;Assumptions!M$204)</f>
        <v>494622.94326673</v>
      </c>
      <c r="N10" s="65" t="n">
        <f aca="false">SUMIFS(Commitments!$E$9:$AB$9,Assumptions!$E$206:$AB$206,Assumptions!N$206,Assumptions!$E$204:$AB$204,"&lt;="&amp;Assumptions!N$204)</f>
        <v>551553.259717012</v>
      </c>
      <c r="O10" s="65" t="n">
        <f aca="false">SUMIFS(Commitments!$E$9:$AB$9,Assumptions!$E$206:$AB$206,Assumptions!O$206,Assumptions!$E$204:$AB$204,"&lt;="&amp;Assumptions!O$204)</f>
        <v>608390.888110145</v>
      </c>
      <c r="P10" s="65" t="n">
        <f aca="false">SUMIFS(Commitments!$E$9:$AB$9,Assumptions!$E$206:$AB$206,Assumptions!P$206,Assumptions!$E$204:$AB$204,"&lt;="&amp;Assumptions!P$204)</f>
        <v>666491.142567315</v>
      </c>
      <c r="Q10" s="65" t="n">
        <f aca="false">SUMIFS(Commitments!$E$9:$AB$9,Assumptions!$E$206:$AB$206,Assumptions!Q$206,Assumptions!$E$204:$AB$204,"&lt;="&amp;Assumptions!Q$204)</f>
        <v>66234.0680600299</v>
      </c>
      <c r="R10" s="65" t="n">
        <f aca="false">SUMIFS(Commitments!$E$9:$AB$9,Assumptions!$E$206:$AB$206,Assumptions!R$206,Assumptions!$E$204:$AB$204,"&lt;="&amp;Assumptions!R$204)</f>
        <v>130199.945939004</v>
      </c>
      <c r="S10" s="65" t="n">
        <f aca="false">SUMIFS(Commitments!$E$9:$AB$9,Assumptions!$E$206:$AB$206,Assumptions!S$206,Assumptions!$E$204:$AB$204,"&lt;="&amp;Assumptions!S$204)</f>
        <v>197591.931464374</v>
      </c>
      <c r="T10" s="65" t="n">
        <f aca="false">SUMIFS(Commitments!$E$9:$AB$9,Assumptions!$E$206:$AB$206,Assumptions!T$206,Assumptions!$E$204:$AB$204,"&lt;="&amp;Assumptions!T$204)</f>
        <v>264234.309893409</v>
      </c>
      <c r="U10" s="65" t="n">
        <f aca="false">SUMIFS(Commitments!$E$9:$AB$9,Assumptions!$E$206:$AB$206,Assumptions!U$206,Assumptions!$E$204:$AB$204,"&lt;="&amp;Assumptions!U$204)</f>
        <v>332451.294310601</v>
      </c>
      <c r="V10" s="65" t="n">
        <f aca="false">SUMIFS(Commitments!$E$9:$AB$9,Assumptions!$E$206:$AB$206,Assumptions!V$206,Assumptions!$E$204:$AB$204,"&lt;="&amp;Assumptions!V$204)</f>
        <v>399945.120523733</v>
      </c>
      <c r="W10" s="65" t="n">
        <f aca="false">SUMIFS(Commitments!$E$9:$AB$9,Assumptions!$E$206:$AB$206,Assumptions!W$206,Assumptions!$E$204:$AB$204,"&lt;="&amp;Assumptions!W$204)</f>
        <v>468609.997283614</v>
      </c>
      <c r="X10" s="65" t="n">
        <f aca="false">SUMIFS(Commitments!$E$9:$AB$9,Assumptions!$E$206:$AB$206,Assumptions!X$206,Assumptions!$E$204:$AB$204,"&lt;="&amp;Assumptions!X$204)</f>
        <v>537514.709792088</v>
      </c>
      <c r="Y10" s="65" t="n">
        <f aca="false">SUMIFS(Commitments!$E$9:$AB$9,Assumptions!$E$206:$AB$206,Assumptions!Y$206,Assumptions!$E$204:$AB$204,"&lt;="&amp;Assumptions!Y$204)</f>
        <v>605959.111083876</v>
      </c>
      <c r="Z10" s="65" t="n">
        <f aca="false">SUMIFS(Commitments!$E$9:$AB$9,Assumptions!$E$206:$AB$206,Assumptions!Z$206,Assumptions!$E$204:$AB$204,"&lt;="&amp;Assumptions!Z$204)</f>
        <v>675774.125908249</v>
      </c>
      <c r="AA10" s="65" t="n">
        <f aca="false">SUMIFS(Commitments!$E$9:$AB$9,Assumptions!$E$206:$AB$206,Assumptions!AA$206,Assumptions!$E$204:$AB$204,"&lt;="&amp;Assumptions!AA$204)</f>
        <v>745055.245207101</v>
      </c>
      <c r="AB10" s="65" t="n">
        <f aca="false">SUMIFS(Commitments!$E$9:$AB$9,Assumptions!$E$206:$AB$206,Assumptions!AB$206,Assumptions!$E$204:$AB$204,"&lt;="&amp;Assumptions!AB$204)</f>
        <v>815696.809202168</v>
      </c>
    </row>
    <row r="11" customFormat="false" ht="15" hidden="false" customHeight="false" outlineLevel="0" collapsed="false">
      <c r="A11" s="28" t="s">
        <v>1029</v>
      </c>
      <c r="B11" s="62"/>
      <c r="C11" s="64" t="n">
        <f aca="false">P11</f>
        <v>666491.142567315</v>
      </c>
      <c r="D11" s="64" t="n">
        <f aca="false">AB11</f>
        <v>815696.809202168</v>
      </c>
      <c r="E11" s="65" t="n">
        <f aca="false">SUMIFS(Commitments!$E$9:$AB$9,Assumptions!$E$206:$AB$206,Assumptions!E$206)</f>
        <v>666491.142567315</v>
      </c>
      <c r="F11" s="65" t="n">
        <f aca="false">SUMIFS(Commitments!$E$9:$AB$9,Assumptions!$E$206:$AB$206,Assumptions!F$206)</f>
        <v>666491.142567315</v>
      </c>
      <c r="G11" s="65" t="n">
        <f aca="false">SUMIFS(Commitments!$E$9:$AB$9,Assumptions!$E$206:$AB$206,Assumptions!G$206)</f>
        <v>666491.142567315</v>
      </c>
      <c r="H11" s="65" t="n">
        <f aca="false">SUMIFS(Commitments!$E$9:$AB$9,Assumptions!$E$206:$AB$206,Assumptions!H$206)</f>
        <v>666491.142567315</v>
      </c>
      <c r="I11" s="65" t="n">
        <f aca="false">SUMIFS(Commitments!$E$9:$AB$9,Assumptions!$E$206:$AB$206,Assumptions!I$206)</f>
        <v>666491.142567315</v>
      </c>
      <c r="J11" s="65" t="n">
        <f aca="false">SUMIFS(Commitments!$E$9:$AB$9,Assumptions!$E$206:$AB$206,Assumptions!J$206)</f>
        <v>666491.142567315</v>
      </c>
      <c r="K11" s="65" t="n">
        <f aca="false">SUMIFS(Commitments!$E$9:$AB$9,Assumptions!$E$206:$AB$206,Assumptions!K$206)</f>
        <v>666491.142567315</v>
      </c>
      <c r="L11" s="65" t="n">
        <f aca="false">SUMIFS(Commitments!$E$9:$AB$9,Assumptions!$E$206:$AB$206,Assumptions!L$206)</f>
        <v>666491.142567315</v>
      </c>
      <c r="M11" s="65" t="n">
        <f aca="false">SUMIFS(Commitments!$E$9:$AB$9,Assumptions!$E$206:$AB$206,Assumptions!M$206)</f>
        <v>666491.142567315</v>
      </c>
      <c r="N11" s="65" t="n">
        <f aca="false">SUMIFS(Commitments!$E$9:$AB$9,Assumptions!$E$206:$AB$206,Assumptions!N$206)</f>
        <v>666491.142567315</v>
      </c>
      <c r="O11" s="65" t="n">
        <f aca="false">SUMIFS(Commitments!$E$9:$AB$9,Assumptions!$E$206:$AB$206,Assumptions!O$206)</f>
        <v>666491.142567315</v>
      </c>
      <c r="P11" s="65" t="n">
        <f aca="false">SUMIFS(Commitments!$E$9:$AB$9,Assumptions!$E$206:$AB$206,Assumptions!P$206)</f>
        <v>666491.142567315</v>
      </c>
      <c r="Q11" s="65" t="n">
        <f aca="false">SUMIFS(Commitments!$E$9:$AB$9,Assumptions!$E$206:$AB$206,Assumptions!Q$206)</f>
        <v>815696.809202168</v>
      </c>
      <c r="R11" s="65" t="n">
        <f aca="false">SUMIFS(Commitments!$E$9:$AB$9,Assumptions!$E$206:$AB$206,Assumptions!R$206)</f>
        <v>815696.809202168</v>
      </c>
      <c r="S11" s="65" t="n">
        <f aca="false">SUMIFS(Commitments!$E$9:$AB$9,Assumptions!$E$206:$AB$206,Assumptions!S$206)</f>
        <v>815696.809202168</v>
      </c>
      <c r="T11" s="65" t="n">
        <f aca="false">SUMIFS(Commitments!$E$9:$AB$9,Assumptions!$E$206:$AB$206,Assumptions!T$206)</f>
        <v>815696.809202168</v>
      </c>
      <c r="U11" s="65" t="n">
        <f aca="false">SUMIFS(Commitments!$E$9:$AB$9,Assumptions!$E$206:$AB$206,Assumptions!U$206)</f>
        <v>815696.809202168</v>
      </c>
      <c r="V11" s="65" t="n">
        <f aca="false">SUMIFS(Commitments!$E$9:$AB$9,Assumptions!$E$206:$AB$206,Assumptions!V$206)</f>
        <v>815696.809202168</v>
      </c>
      <c r="W11" s="65" t="n">
        <f aca="false">SUMIFS(Commitments!$E$9:$AB$9,Assumptions!$E$206:$AB$206,Assumptions!W$206)</f>
        <v>815696.809202168</v>
      </c>
      <c r="X11" s="65" t="n">
        <f aca="false">SUMIFS(Commitments!$E$9:$AB$9,Assumptions!$E$206:$AB$206,Assumptions!X$206)</f>
        <v>815696.809202168</v>
      </c>
      <c r="Y11" s="65" t="n">
        <f aca="false">SUMIFS(Commitments!$E$9:$AB$9,Assumptions!$E$206:$AB$206,Assumptions!Y$206)</f>
        <v>815696.809202168</v>
      </c>
      <c r="Z11" s="65" t="n">
        <f aca="false">SUMIFS(Commitments!$E$9:$AB$9,Assumptions!$E$206:$AB$206,Assumptions!Z$206)</f>
        <v>815696.809202168</v>
      </c>
      <c r="AA11" s="65" t="n">
        <f aca="false">SUMIFS(Commitments!$E$9:$AB$9,Assumptions!$E$206:$AB$206,Assumptions!AA$206)</f>
        <v>815696.809202168</v>
      </c>
      <c r="AB11" s="65" t="n">
        <f aca="false">SUMIFS(Commitments!$E$9:$AB$9,Assumptions!$E$206:$AB$206,Assumptions!AB$206)</f>
        <v>815696.809202168</v>
      </c>
    </row>
    <row r="12" customFormat="false" ht="15" hidden="false" customHeight="false" outlineLevel="0" collapsed="false">
      <c r="A12" s="28" t="s">
        <v>1030</v>
      </c>
      <c r="B12" s="62" t="s">
        <v>1031</v>
      </c>
      <c r="C12" s="64" t="n">
        <f aca="false">P12</f>
        <v>113508.857432685</v>
      </c>
      <c r="D12" s="64" t="n">
        <f aca="false">AB12</f>
        <v>0</v>
      </c>
      <c r="E12" s="73" t="n">
        <f aca="false">MAX(0,E8-E11)</f>
        <v>113508.857432685</v>
      </c>
      <c r="F12" s="73" t="n">
        <f aca="false">MAX(0,F8-F11)</f>
        <v>113508.857432685</v>
      </c>
      <c r="G12" s="73" t="n">
        <f aca="false">MAX(0,G8-G11)</f>
        <v>113508.857432685</v>
      </c>
      <c r="H12" s="73" t="n">
        <f aca="false">MAX(0,H8-H11)</f>
        <v>113508.857432685</v>
      </c>
      <c r="I12" s="73" t="n">
        <f aca="false">MAX(0,I8-I11)</f>
        <v>113508.857432685</v>
      </c>
      <c r="J12" s="73" t="n">
        <f aca="false">MAX(0,J8-J11)</f>
        <v>113508.857432685</v>
      </c>
      <c r="K12" s="73" t="n">
        <f aca="false">MAX(0,K8-K11)</f>
        <v>113508.857432685</v>
      </c>
      <c r="L12" s="73" t="n">
        <f aca="false">MAX(0,L8-L11)</f>
        <v>113508.857432685</v>
      </c>
      <c r="M12" s="73" t="n">
        <f aca="false">MAX(0,M8-M11)</f>
        <v>113508.857432685</v>
      </c>
      <c r="N12" s="73" t="n">
        <f aca="false">MAX(0,N8-N11)</f>
        <v>113508.857432685</v>
      </c>
      <c r="O12" s="73" t="n">
        <f aca="false">MAX(0,O8-O11)</f>
        <v>113508.857432685</v>
      </c>
      <c r="P12" s="73" t="n">
        <f aca="false">MAX(0,P8-P11)</f>
        <v>113508.857432685</v>
      </c>
      <c r="Q12" s="73" t="n">
        <f aca="false">MAX(0,Q8-Q11)</f>
        <v>0</v>
      </c>
      <c r="R12" s="73" t="n">
        <f aca="false">MAX(0,R8-R11)</f>
        <v>0</v>
      </c>
      <c r="S12" s="73" t="n">
        <f aca="false">MAX(0,S8-S11)</f>
        <v>0</v>
      </c>
      <c r="T12" s="73" t="n">
        <f aca="false">MAX(0,T8-T11)</f>
        <v>0</v>
      </c>
      <c r="U12" s="73" t="n">
        <f aca="false">MAX(0,U8-U11)</f>
        <v>0</v>
      </c>
      <c r="V12" s="73" t="n">
        <f aca="false">MAX(0,V8-V11)</f>
        <v>0</v>
      </c>
      <c r="W12" s="73" t="n">
        <f aca="false">MAX(0,W8-W11)</f>
        <v>0</v>
      </c>
      <c r="X12" s="73" t="n">
        <f aca="false">MAX(0,X8-X11)</f>
        <v>0</v>
      </c>
      <c r="Y12" s="73" t="n">
        <f aca="false">MAX(0,Y8-Y11)</f>
        <v>0</v>
      </c>
      <c r="Z12" s="73" t="n">
        <f aca="false">MAX(0,Z8-Z11)</f>
        <v>0</v>
      </c>
      <c r="AA12" s="73" t="n">
        <f aca="false">MAX(0,AA8-AA11)</f>
        <v>0</v>
      </c>
      <c r="AB12" s="73" t="n">
        <f aca="false">MAX(0,AB8-AB11)</f>
        <v>0</v>
      </c>
    </row>
    <row r="13" customFormat="false" ht="15" hidden="false" customHeight="false" outlineLevel="0" collapsed="false">
      <c r="A13" s="28" t="s">
        <v>1032</v>
      </c>
      <c r="B13" s="62"/>
      <c r="C13" s="66" t="n">
        <f aca="false">P13</f>
        <v>0.85447582380425</v>
      </c>
      <c r="D13" s="66" t="n">
        <f aca="false">AB13</f>
        <v>1.01962101150271</v>
      </c>
      <c r="E13" s="63" t="n">
        <f aca="false">IF(E8=0,0,E10/(E8*Assumptions!E$207/12))</f>
        <v>0.849458307692308</v>
      </c>
      <c r="F13" s="63" t="n">
        <f aca="false">IF(F8=0,0,F10/(F8*Assumptions!F$207/12))</f>
        <v>0.825776923076923</v>
      </c>
      <c r="G13" s="63" t="n">
        <f aca="false">IF(G8=0,0,G10/(G8*Assumptions!G$207/12))</f>
        <v>0.823019897435897</v>
      </c>
      <c r="H13" s="63" t="n">
        <f aca="false">IF(H8=0,0,H10/(H8*Assumptions!H$207/12))</f>
        <v>0.820480038461539</v>
      </c>
      <c r="I13" s="63" t="n">
        <f aca="false">IF(I8=0,0,I10/(I8*Assumptions!I$207/12))</f>
        <v>0.821136492307692</v>
      </c>
      <c r="J13" s="63" t="n">
        <f aca="false">IF(J8=0,0,J10/(J8*Assumptions!J$207/12))</f>
        <v>0.827303512820513</v>
      </c>
      <c r="K13" s="63" t="n">
        <f aca="false">IF(K8=0,0,K10/(K8*Assumptions!K$207/12))</f>
        <v>0.836414483516484</v>
      </c>
      <c r="L13" s="63" t="n">
        <f aca="false">IF(L8=0,0,L10/(L8*Assumptions!L$207/12))</f>
        <v>0.843724038461538</v>
      </c>
      <c r="M13" s="63" t="n">
        <f aca="false">IF(M8=0,0,M10/(M8*Assumptions!M$207/12))</f>
        <v>0.845509304729453</v>
      </c>
      <c r="N13" s="63" t="n">
        <f aca="false">IF(N8=0,0,N10/(N8*Assumptions!N$207/12))</f>
        <v>0.848543476487711</v>
      </c>
      <c r="O13" s="63" t="n">
        <f aca="false">IF(O8=0,0,O10/(O8*Assumptions!O$207/12))</f>
        <v>0.850896347007196</v>
      </c>
      <c r="P13" s="63" t="n">
        <f aca="false">IF(P8=0,0,P10/(P8*Assumptions!P$207/12))</f>
        <v>0.85447582380425</v>
      </c>
      <c r="Q13" s="63" t="n">
        <f aca="false">IF(Q8=0,0,Q10/(Q8*Assumptions!Q$207/12))</f>
        <v>0.993511020900449</v>
      </c>
      <c r="R13" s="63" t="n">
        <f aca="false">IF(R8=0,0,R10/(R8*Assumptions!R$207/12))</f>
        <v>0.976499594542527</v>
      </c>
      <c r="S13" s="63" t="n">
        <f aca="false">IF(S8=0,0,S10/(S8*Assumptions!S$207/12))</f>
        <v>0.987959657321869</v>
      </c>
      <c r="T13" s="63" t="n">
        <f aca="false">IF(T8=0,0,T10/(T8*Assumptions!T$207/12))</f>
        <v>0.990878662100283</v>
      </c>
      <c r="U13" s="63" t="n">
        <f aca="false">IF(U8=0,0,U10/(U8*Assumptions!U$207/12))</f>
        <v>0.997353882931803</v>
      </c>
      <c r="V13" s="63" t="n">
        <f aca="false">IF(V8=0,0,V10/(V8*Assumptions!V$207/12))</f>
        <v>0.999862801309332</v>
      </c>
      <c r="W13" s="63" t="n">
        <f aca="false">IF(W8=0,0,W10/(W8*Assumptions!W$207/12))</f>
        <v>1.00416427989346</v>
      </c>
      <c r="X13" s="63" t="n">
        <f aca="false">IF(X8=0,0,X10/(X8*Assumptions!X$207/12))</f>
        <v>1.00784008086016</v>
      </c>
      <c r="Y13" s="63" t="n">
        <f aca="false">IF(Y8=0,0,Y10/(Y8*Assumptions!Y$207/12))</f>
        <v>1.00993185180646</v>
      </c>
      <c r="Z13" s="63" t="n">
        <f aca="false">IF(Z8=0,0,Z10/(Z8*Assumptions!Z$207/12))</f>
        <v>1.01366118886237</v>
      </c>
      <c r="AA13" s="63" t="n">
        <f aca="false">IF(AA8=0,0,AA10/(AA8*Assumptions!AA$207/12))</f>
        <v>1.01598442528241</v>
      </c>
      <c r="AB13" s="63" t="n">
        <f aca="false">IF(AB8=0,0,AB10/(AB8*Assumptions!AB$207/12))</f>
        <v>1.01962101150271</v>
      </c>
    </row>
    <row r="14" customFormat="false" ht="15" hidden="false" customHeight="false" outlineLevel="0" collapsed="false">
      <c r="A14" s="28" t="s">
        <v>1033</v>
      </c>
      <c r="B14" s="62" t="s">
        <v>1034</v>
      </c>
      <c r="C14" s="64" t="n">
        <f aca="false">P14</f>
        <v>0</v>
      </c>
      <c r="D14" s="64" t="n">
        <f aca="false">AB14</f>
        <v>0</v>
      </c>
      <c r="E14" s="65" t="n">
        <f aca="false">IF(E$5="A",Inputs_Actuals!E88,IF(Assumptions!E$207=12,0,E12))</f>
        <v>0</v>
      </c>
      <c r="F14" s="65" t="n">
        <f aca="false">IF(F$5="A",Inputs_Actuals!F88,IF(Assumptions!F$207=12,0,F12))</f>
        <v>0</v>
      </c>
      <c r="G14" s="65" t="n">
        <f aca="false">IF(G$5="A",Inputs_Actuals!G88,IF(Assumptions!G$207=12,0,G12))</f>
        <v>0</v>
      </c>
      <c r="H14" s="65" t="n">
        <f aca="false">IF(H$5="A",Inputs_Actuals!H88,IF(Assumptions!H$207=12,0,H12))</f>
        <v>0</v>
      </c>
      <c r="I14" s="65" t="n">
        <f aca="false">IF(I$5="A",Inputs_Actuals!I88,IF(Assumptions!I$207=12,0,I12))</f>
        <v>0</v>
      </c>
      <c r="J14" s="65" t="n">
        <f aca="false">IF(J$5="A",Inputs_Actuals!J88,IF(Assumptions!J$207=12,0,J12))</f>
        <v>55000</v>
      </c>
      <c r="K14" s="65" t="n">
        <f aca="false">IF(K$5="A",Inputs_Actuals!K88,IF(Assumptions!K$207=12,0,K12))</f>
        <v>80000</v>
      </c>
      <c r="L14" s="65" t="n">
        <f aca="false">IF(L$5="A",Inputs_Actuals!L88,IF(Assumptions!L$207=12,0,L12))</f>
        <v>113500</v>
      </c>
      <c r="M14" s="65" t="n">
        <f aca="false">IF(M$5="A",Inputs_Actuals!M88,IF(Assumptions!M$207=12,0,M12))</f>
        <v>113508.857432685</v>
      </c>
      <c r="N14" s="65" t="n">
        <f aca="false">IF(N$5="A",Inputs_Actuals!N88,IF(Assumptions!N$207=12,0,N12))</f>
        <v>113508.857432685</v>
      </c>
      <c r="O14" s="65" t="n">
        <f aca="false">IF(O$5="A",Inputs_Actuals!O88,IF(Assumptions!O$207=12,0,O12))</f>
        <v>113508.857432685</v>
      </c>
      <c r="P14" s="65" t="n">
        <f aca="false">IF(P$5="A",Inputs_Actuals!P88,IF(Assumptions!P$207=12,0,P12))</f>
        <v>0</v>
      </c>
      <c r="Q14" s="65" t="n">
        <f aca="false">IF(Q$5="A",Inputs_Actuals!Q88,IF(Assumptions!Q$207=12,0,Q12))</f>
        <v>0</v>
      </c>
      <c r="R14" s="65" t="n">
        <f aca="false">IF(R$5="A",Inputs_Actuals!R88,IF(Assumptions!R$207=12,0,R12))</f>
        <v>0</v>
      </c>
      <c r="S14" s="65" t="n">
        <f aca="false">IF(S$5="A",Inputs_Actuals!S88,IF(Assumptions!S$207=12,0,S12))</f>
        <v>0</v>
      </c>
      <c r="T14" s="65" t="n">
        <f aca="false">IF(T$5="A",Inputs_Actuals!T88,IF(Assumptions!T$207=12,0,T12))</f>
        <v>0</v>
      </c>
      <c r="U14" s="65" t="n">
        <f aca="false">IF(U$5="A",Inputs_Actuals!U88,IF(Assumptions!U$207=12,0,U12))</f>
        <v>0</v>
      </c>
      <c r="V14" s="65" t="n">
        <f aca="false">IF(V$5="A",Inputs_Actuals!V88,IF(Assumptions!V$207=12,0,V12))</f>
        <v>0</v>
      </c>
      <c r="W14" s="65" t="n">
        <f aca="false">IF(W$5="A",Inputs_Actuals!W88,IF(Assumptions!W$207=12,0,W12))</f>
        <v>0</v>
      </c>
      <c r="X14" s="65" t="n">
        <f aca="false">IF(X$5="A",Inputs_Actuals!X88,IF(Assumptions!X$207=12,0,X12))</f>
        <v>0</v>
      </c>
      <c r="Y14" s="65" t="n">
        <f aca="false">IF(Y$5="A",Inputs_Actuals!Y88,IF(Assumptions!Y$207=12,0,Y12))</f>
        <v>0</v>
      </c>
      <c r="Z14" s="65" t="n">
        <f aca="false">IF(Z$5="A",Inputs_Actuals!Z88,IF(Assumptions!Z$207=12,0,Z12))</f>
        <v>0</v>
      </c>
      <c r="AA14" s="65" t="n">
        <f aca="false">IF(AA$5="A",Inputs_Actuals!AA88,IF(Assumptions!AA$207=12,0,AA12))</f>
        <v>0</v>
      </c>
      <c r="AB14" s="65" t="n">
        <f aca="false">IF(AB$5="A",Inputs_Actuals!AB88,IF(Assumptions!AB$207=12,0,AB12))</f>
        <v>0</v>
      </c>
    </row>
    <row r="15" customFormat="false" ht="15" hidden="false" customHeight="false" outlineLevel="0" collapsed="false">
      <c r="A15" s="28" t="s">
        <v>1035</v>
      </c>
      <c r="B15" s="62"/>
      <c r="C15" s="64" t="n">
        <f aca="false">SUM(E15:P15)</f>
        <v>113508.857432685</v>
      </c>
      <c r="D15" s="64" t="n">
        <f aca="false">SUM(Q15:AB15)</f>
        <v>0</v>
      </c>
      <c r="E15" s="65" t="n">
        <f aca="false">IF(E$5="A",0,IF(Assumptions!E$207=12,E12,0))</f>
        <v>0</v>
      </c>
      <c r="F15" s="65" t="n">
        <f aca="false">IF(F$5="A",0,IF(Assumptions!F$207=12,F12,0))</f>
        <v>0</v>
      </c>
      <c r="G15" s="65" t="n">
        <f aca="false">IF(G$5="A",0,IF(Assumptions!G$207=12,G12,0))</f>
        <v>0</v>
      </c>
      <c r="H15" s="65" t="n">
        <f aca="false">IF(H$5="A",0,IF(Assumptions!H$207=12,H12,0))</f>
        <v>0</v>
      </c>
      <c r="I15" s="65" t="n">
        <f aca="false">IF(I$5="A",0,IF(Assumptions!I$207=12,I12,0))</f>
        <v>0</v>
      </c>
      <c r="J15" s="65" t="n">
        <f aca="false">IF(J$5="A",0,IF(Assumptions!J$207=12,J12,0))</f>
        <v>0</v>
      </c>
      <c r="K15" s="65" t="n">
        <f aca="false">IF(K$5="A",0,IF(Assumptions!K$207=12,K12,0))</f>
        <v>0</v>
      </c>
      <c r="L15" s="65" t="n">
        <f aca="false">IF(L$5="A",0,IF(Assumptions!L$207=12,L12,0))</f>
        <v>0</v>
      </c>
      <c r="M15" s="65" t="n">
        <f aca="false">IF(M$5="A",0,IF(Assumptions!M$207=12,M12,0))</f>
        <v>0</v>
      </c>
      <c r="N15" s="65" t="n">
        <f aca="false">IF(N$5="A",0,IF(Assumptions!N$207=12,N12,0))</f>
        <v>0</v>
      </c>
      <c r="O15" s="65" t="n">
        <f aca="false">IF(O$5="A",0,IF(Assumptions!O$207=12,O12,0))</f>
        <v>0</v>
      </c>
      <c r="P15" s="65" t="n">
        <f aca="false">IF(P$5="A",0,IF(Assumptions!P$207=12,P12,0))</f>
        <v>113508.857432685</v>
      </c>
      <c r="Q15" s="65" t="n">
        <f aca="false">IF(Q$5="A",0,IF(Assumptions!Q$207=12,Q12,0))</f>
        <v>0</v>
      </c>
      <c r="R15" s="65" t="n">
        <f aca="false">IF(R$5="A",0,IF(Assumptions!R$207=12,R12,0))</f>
        <v>0</v>
      </c>
      <c r="S15" s="65" t="n">
        <f aca="false">IF(S$5="A",0,IF(Assumptions!S$207=12,S12,0))</f>
        <v>0</v>
      </c>
      <c r="T15" s="65" t="n">
        <f aca="false">IF(T$5="A",0,IF(Assumptions!T$207=12,T12,0))</f>
        <v>0</v>
      </c>
      <c r="U15" s="65" t="n">
        <f aca="false">IF(U$5="A",0,IF(Assumptions!U$207=12,U12,0))</f>
        <v>0</v>
      </c>
      <c r="V15" s="65" t="n">
        <f aca="false">IF(V$5="A",0,IF(Assumptions!V$207=12,V12,0))</f>
        <v>0</v>
      </c>
      <c r="W15" s="65" t="n">
        <f aca="false">IF(W$5="A",0,IF(Assumptions!W$207=12,W12,0))</f>
        <v>0</v>
      </c>
      <c r="X15" s="65" t="n">
        <f aca="false">IF(X$5="A",0,IF(Assumptions!X$207=12,X12,0))</f>
        <v>0</v>
      </c>
      <c r="Y15" s="65" t="n">
        <f aca="false">IF(Y$5="A",0,IF(Assumptions!Y$207=12,Y12,0))</f>
        <v>0</v>
      </c>
      <c r="Z15" s="65" t="n">
        <f aca="false">IF(Z$5="A",0,IF(Assumptions!Z$207=12,Z12,0))</f>
        <v>0</v>
      </c>
      <c r="AA15" s="65" t="n">
        <f aca="false">IF(AA$5="A",0,IF(Assumptions!AA$207=12,AA12,0))</f>
        <v>0</v>
      </c>
      <c r="AB15" s="65" t="n">
        <f aca="false">IF(AB$5="A",0,IF(Assumptions!AB$207=12,AB12,0))</f>
        <v>0</v>
      </c>
    </row>
    <row r="16" customFormat="false" ht="15" hidden="false" customHeight="false" outlineLevel="0" collapsed="false">
      <c r="A16" s="28" t="s">
        <v>1036</v>
      </c>
      <c r="B16" s="62"/>
      <c r="C16" s="64" t="n">
        <f aca="false">SUM(E16:P16)</f>
        <v>0</v>
      </c>
      <c r="D16" s="64" t="n">
        <f aca="false">SUM(Q16:AB16)</f>
        <v>0</v>
      </c>
      <c r="E16" s="65" t="n">
        <f aca="false">IF(E$5="A",0,ROUND(E14-IF(Assumptions!E$207=12,0,E12),0))</f>
        <v>0</v>
      </c>
      <c r="F16" s="65" t="n">
        <f aca="false">IF(F$5="A",0,ROUND(F14-IF(Assumptions!F$207=12,0,F12),0))</f>
        <v>0</v>
      </c>
      <c r="G16" s="65" t="n">
        <f aca="false">IF(G$5="A",0,ROUND(G14-IF(Assumptions!G$207=12,0,G12),0))</f>
        <v>0</v>
      </c>
      <c r="H16" s="65" t="n">
        <f aca="false">IF(H$5="A",0,ROUND(H14-IF(Assumptions!H$207=12,0,H12),0))</f>
        <v>0</v>
      </c>
      <c r="I16" s="65" t="n">
        <f aca="false">IF(I$5="A",0,ROUND(I14-IF(Assumptions!I$207=12,0,I12),0))</f>
        <v>0</v>
      </c>
      <c r="J16" s="65" t="n">
        <f aca="false">IF(J$5="A",0,ROUND(J14-IF(Assumptions!J$207=12,0,J12),0))</f>
        <v>0</v>
      </c>
      <c r="K16" s="65" t="n">
        <f aca="false">IF(K$5="A",0,ROUND(K14-IF(Assumptions!K$207=12,0,K12),0))</f>
        <v>0</v>
      </c>
      <c r="L16" s="65" t="n">
        <f aca="false">IF(L$5="A",0,ROUND(L14-IF(Assumptions!L$207=12,0,L12),0))</f>
        <v>0</v>
      </c>
      <c r="M16" s="65" t="n">
        <f aca="false">IF(M$5="A",0,ROUND(M14-IF(Assumptions!M$207=12,0,M12),0))</f>
        <v>0</v>
      </c>
      <c r="N16" s="65" t="n">
        <f aca="false">IF(N$5="A",0,ROUND(N14-IF(Assumptions!N$207=12,0,N12),0))</f>
        <v>0</v>
      </c>
      <c r="O16" s="65" t="n">
        <f aca="false">IF(O$5="A",0,ROUND(O14-IF(Assumptions!O$207=12,0,O12),0))</f>
        <v>0</v>
      </c>
      <c r="P16" s="65" t="n">
        <f aca="false">IF(P$5="A",0,ROUND(P14-IF(Assumptions!P$207=12,0,P12),0))</f>
        <v>0</v>
      </c>
      <c r="Q16" s="65" t="n">
        <f aca="false">IF(Q$5="A",0,ROUND(Q14-IF(Assumptions!Q$207=12,0,Q12),0))</f>
        <v>0</v>
      </c>
      <c r="R16" s="65" t="n">
        <f aca="false">IF(R$5="A",0,ROUND(R14-IF(Assumptions!R$207=12,0,R12),0))</f>
        <v>0</v>
      </c>
      <c r="S16" s="65" t="n">
        <f aca="false">IF(S$5="A",0,ROUND(S14-IF(Assumptions!S$207=12,0,S12),0))</f>
        <v>0</v>
      </c>
      <c r="T16" s="65" t="n">
        <f aca="false">IF(T$5="A",0,ROUND(T14-IF(Assumptions!T$207=12,0,T12),0))</f>
        <v>0</v>
      </c>
      <c r="U16" s="65" t="n">
        <f aca="false">IF(U$5="A",0,ROUND(U14-IF(Assumptions!U$207=12,0,U12),0))</f>
        <v>0</v>
      </c>
      <c r="V16" s="65" t="n">
        <f aca="false">IF(V$5="A",0,ROUND(V14-IF(Assumptions!V$207=12,0,V12),0))</f>
        <v>0</v>
      </c>
      <c r="W16" s="65" t="n">
        <f aca="false">IF(W$5="A",0,ROUND(W14-IF(Assumptions!W$207=12,0,W12),0))</f>
        <v>0</v>
      </c>
      <c r="X16" s="65" t="n">
        <f aca="false">IF(X$5="A",0,ROUND(X14-IF(Assumptions!X$207=12,0,X12),0))</f>
        <v>0</v>
      </c>
      <c r="Y16" s="65" t="n">
        <f aca="false">IF(Y$5="A",0,ROUND(Y14-IF(Assumptions!Y$207=12,0,Y12),0))</f>
        <v>0</v>
      </c>
      <c r="Z16" s="65" t="n">
        <f aca="false">IF(Z$5="A",0,ROUND(Z14-IF(Assumptions!Z$207=12,0,Z12),0))</f>
        <v>0</v>
      </c>
      <c r="AA16" s="65" t="n">
        <f aca="false">IF(AA$5="A",0,ROUND(AA14-IF(Assumptions!AA$207=12,0,AA12),0))</f>
        <v>0</v>
      </c>
      <c r="AB16" s="65" t="n">
        <f aca="false">IF(AB$5="A",0,ROUND(AB14-IF(Assumptions!AB$207=12,0,AB12),0))</f>
        <v>0</v>
      </c>
    </row>
    <row r="17" customFormat="false" ht="15" hidden="false" customHeight="false" outlineLevel="0" collapsed="false">
      <c r="A17" s="58" t="s">
        <v>1037</v>
      </c>
      <c r="B17" s="59" t="s">
        <v>1038</v>
      </c>
      <c r="C17" s="60" t="n">
        <f aca="false">P17</f>
        <v>0</v>
      </c>
      <c r="D17" s="60" t="n">
        <f aca="false">AB17</f>
        <v>0</v>
      </c>
      <c r="E17" s="61" t="n">
        <f aca="false">E14/Assumptions!E$216</f>
        <v>0</v>
      </c>
      <c r="F17" s="61" t="n">
        <f aca="false">F14/Assumptions!F$216</f>
        <v>0</v>
      </c>
      <c r="G17" s="61" t="n">
        <f aca="false">G14/Assumptions!G$216</f>
        <v>0</v>
      </c>
      <c r="H17" s="61" t="n">
        <f aca="false">H14/Assumptions!H$216</f>
        <v>0</v>
      </c>
      <c r="I17" s="61" t="n">
        <f aca="false">I14/Assumptions!I$216</f>
        <v>0</v>
      </c>
      <c r="J17" s="61" t="n">
        <f aca="false">J14/Assumptions!J$216</f>
        <v>47755.4918815664</v>
      </c>
      <c r="K17" s="61" t="n">
        <f aca="false">K14/Assumptions!K$216</f>
        <v>70070.9468336691</v>
      </c>
      <c r="L17" s="61" t="n">
        <f aca="false">L14/Assumptions!L$216</f>
        <v>97903.9075304063</v>
      </c>
      <c r="M17" s="61" t="n">
        <f aca="false">M14/Assumptions!M$216</f>
        <v>99021.9466393482</v>
      </c>
      <c r="N17" s="61" t="n">
        <f aca="false">N14/Assumptions!N$216</f>
        <v>99021.9466393482</v>
      </c>
      <c r="O17" s="61" t="n">
        <f aca="false">O14/Assumptions!O$216</f>
        <v>99021.9466393482</v>
      </c>
      <c r="P17" s="61" t="n">
        <f aca="false">P14/Assumptions!P$216</f>
        <v>0</v>
      </c>
      <c r="Q17" s="61" t="n">
        <f aca="false">Q14/Assumptions!Q$216</f>
        <v>0</v>
      </c>
      <c r="R17" s="61" t="n">
        <f aca="false">R14/Assumptions!R$216</f>
        <v>0</v>
      </c>
      <c r="S17" s="61" t="n">
        <f aca="false">S14/Assumptions!S$216</f>
        <v>0</v>
      </c>
      <c r="T17" s="61" t="n">
        <f aca="false">T14/Assumptions!T$216</f>
        <v>0</v>
      </c>
      <c r="U17" s="61" t="n">
        <f aca="false">U14/Assumptions!U$216</f>
        <v>0</v>
      </c>
      <c r="V17" s="61" t="n">
        <f aca="false">V14/Assumptions!V$216</f>
        <v>0</v>
      </c>
      <c r="W17" s="61" t="n">
        <f aca="false">W14/Assumptions!W$216</f>
        <v>0</v>
      </c>
      <c r="X17" s="61" t="n">
        <f aca="false">X14/Assumptions!X$216</f>
        <v>0</v>
      </c>
      <c r="Y17" s="61" t="n">
        <f aca="false">Y14/Assumptions!Y$216</f>
        <v>0</v>
      </c>
      <c r="Z17" s="61" t="n">
        <f aca="false">Z14/Assumptions!Z$216</f>
        <v>0</v>
      </c>
      <c r="AA17" s="61" t="n">
        <f aca="false">AA14/Assumptions!AA$216</f>
        <v>0</v>
      </c>
      <c r="AB17" s="61" t="n">
        <f aca="false">AB14/Assumptions!AB$216</f>
        <v>0</v>
      </c>
    </row>
    <row r="18" customFormat="false" ht="15" hidden="false" customHeight="false" outlineLevel="0" collapsed="false">
      <c r="A18" s="28" t="s">
        <v>1039</v>
      </c>
      <c r="B18" s="62"/>
      <c r="C18" s="64" t="n">
        <f aca="false">SUM(E18:P18)</f>
        <v>99021.9466393482</v>
      </c>
      <c r="D18" s="64" t="n">
        <f aca="false">SUM(Q18:AB18)</f>
        <v>0</v>
      </c>
      <c r="E18" s="65" t="n">
        <f aca="false">E15/Assumptions!E$216</f>
        <v>0</v>
      </c>
      <c r="F18" s="65" t="n">
        <f aca="false">F15/Assumptions!F$216</f>
        <v>0</v>
      </c>
      <c r="G18" s="65" t="n">
        <f aca="false">G15/Assumptions!G$216</f>
        <v>0</v>
      </c>
      <c r="H18" s="65" t="n">
        <f aca="false">H15/Assumptions!H$216</f>
        <v>0</v>
      </c>
      <c r="I18" s="65" t="n">
        <f aca="false">I15/Assumptions!I$216</f>
        <v>0</v>
      </c>
      <c r="J18" s="65" t="n">
        <f aca="false">J15/Assumptions!J$216</f>
        <v>0</v>
      </c>
      <c r="K18" s="65" t="n">
        <f aca="false">K15/Assumptions!K$216</f>
        <v>0</v>
      </c>
      <c r="L18" s="65" t="n">
        <f aca="false">L15/Assumptions!L$216</f>
        <v>0</v>
      </c>
      <c r="M18" s="65" t="n">
        <f aca="false">M15/Assumptions!M$216</f>
        <v>0</v>
      </c>
      <c r="N18" s="65" t="n">
        <f aca="false">N15/Assumptions!N$216</f>
        <v>0</v>
      </c>
      <c r="O18" s="65" t="n">
        <f aca="false">O15/Assumptions!O$216</f>
        <v>0</v>
      </c>
      <c r="P18" s="65" t="n">
        <f aca="false">P15/Assumptions!P$216</f>
        <v>99021.9466393482</v>
      </c>
      <c r="Q18" s="65" t="n">
        <f aca="false">Q15/Assumptions!Q$216</f>
        <v>0</v>
      </c>
      <c r="R18" s="65" t="n">
        <f aca="false">R15/Assumptions!R$216</f>
        <v>0</v>
      </c>
      <c r="S18" s="65" t="n">
        <f aca="false">S15/Assumptions!S$216</f>
        <v>0</v>
      </c>
      <c r="T18" s="65" t="n">
        <f aca="false">T15/Assumptions!T$216</f>
        <v>0</v>
      </c>
      <c r="U18" s="65" t="n">
        <f aca="false">U15/Assumptions!U$216</f>
        <v>0</v>
      </c>
      <c r="V18" s="65" t="n">
        <f aca="false">V15/Assumptions!V$216</f>
        <v>0</v>
      </c>
      <c r="W18" s="65" t="n">
        <f aca="false">W15/Assumptions!W$216</f>
        <v>0</v>
      </c>
      <c r="X18" s="65" t="n">
        <f aca="false">X15/Assumptions!X$216</f>
        <v>0</v>
      </c>
      <c r="Y18" s="65" t="n">
        <f aca="false">Y15/Assumptions!Y$216</f>
        <v>0</v>
      </c>
      <c r="Z18" s="65" t="n">
        <f aca="false">Z15/Assumptions!Z$216</f>
        <v>0</v>
      </c>
      <c r="AA18" s="65" t="n">
        <f aca="false">AA15/Assumptions!AA$216</f>
        <v>0</v>
      </c>
      <c r="AB18" s="65" t="n">
        <f aca="false">AB15/Assumptions!AB$216</f>
        <v>0</v>
      </c>
    </row>
    <row r="19" customFormat="false" ht="15" hidden="false" customHeight="false" outlineLevel="0" collapsed="false">
      <c r="A19" s="58" t="s">
        <v>1040</v>
      </c>
      <c r="B19" s="59" t="s">
        <v>1041</v>
      </c>
      <c r="C19" s="60" t="n">
        <f aca="false">SUM(E19:P19)</f>
        <v>99021.9466393482</v>
      </c>
      <c r="D19" s="60" t="n">
        <f aca="false">SUM(Q19:AB19)</f>
        <v>0</v>
      </c>
      <c r="E19" s="60" t="n">
        <f aca="false">E17-0+E18</f>
        <v>0</v>
      </c>
      <c r="F19" s="60" t="n">
        <f aca="false">F17-E17+F18</f>
        <v>0</v>
      </c>
      <c r="G19" s="60" t="n">
        <f aca="false">G17-F17+G18</f>
        <v>0</v>
      </c>
      <c r="H19" s="60" t="n">
        <f aca="false">H17-G17+H18</f>
        <v>0</v>
      </c>
      <c r="I19" s="60" t="n">
        <f aca="false">I17-H17+I18</f>
        <v>0</v>
      </c>
      <c r="J19" s="60" t="n">
        <f aca="false">J17-I17+J18</f>
        <v>47755.4918815664</v>
      </c>
      <c r="K19" s="60" t="n">
        <f aca="false">K17-J17+K18</f>
        <v>22315.4549521027</v>
      </c>
      <c r="L19" s="60" t="n">
        <f aca="false">L17-K17+L18</f>
        <v>27832.9606967372</v>
      </c>
      <c r="M19" s="60" t="n">
        <f aca="false">M17-L17+M18</f>
        <v>1118.03910894193</v>
      </c>
      <c r="N19" s="60" t="n">
        <f aca="false">N17-M17+N18</f>
        <v>0</v>
      </c>
      <c r="O19" s="60" t="n">
        <f aca="false">O17-N17+O18</f>
        <v>0</v>
      </c>
      <c r="P19" s="60" t="n">
        <f aca="false">P17-O17+P18</f>
        <v>0</v>
      </c>
      <c r="Q19" s="60" t="n">
        <f aca="false">Q17-P17+Q18</f>
        <v>0</v>
      </c>
      <c r="R19" s="60" t="n">
        <f aca="false">R17-Q17+R18</f>
        <v>0</v>
      </c>
      <c r="S19" s="60" t="n">
        <f aca="false">S17-R17+S18</f>
        <v>0</v>
      </c>
      <c r="T19" s="60" t="n">
        <f aca="false">T17-S17+T18</f>
        <v>0</v>
      </c>
      <c r="U19" s="60" t="n">
        <f aca="false">U17-T17+U18</f>
        <v>0</v>
      </c>
      <c r="V19" s="60" t="n">
        <f aca="false">V17-U17+V18</f>
        <v>0</v>
      </c>
      <c r="W19" s="60" t="n">
        <f aca="false">W17-V17+W18</f>
        <v>0</v>
      </c>
      <c r="X19" s="60" t="n">
        <f aca="false">X17-W17+X18</f>
        <v>0</v>
      </c>
      <c r="Y19" s="60" t="n">
        <f aca="false">Y17-X17+Y18</f>
        <v>0</v>
      </c>
      <c r="Z19" s="60" t="n">
        <f aca="false">Z17-Y17+Z18</f>
        <v>0</v>
      </c>
      <c r="AA19" s="60" t="n">
        <f aca="false">AA17-Z17+AA18</f>
        <v>0</v>
      </c>
      <c r="AB19" s="60" t="n">
        <f aca="false">AB17-AA17+AB18</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1042</v>
      </c>
    </row>
    <row r="3" customFormat="false" ht="15" hidden="false" customHeight="false" outlineLevel="0" collapsed="false">
      <c r="A3" s="49" t="s">
        <v>1043</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1044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1045</v>
      </c>
      <c r="B9" s="62" t="s">
        <v>44</v>
      </c>
      <c r="C9" s="67" t="n">
        <f aca="false">SUM(E9:P9)</f>
        <v>284063.159258258</v>
      </c>
      <c r="D9" s="67" t="n">
        <f aca="false">SUM(Q9:AB9)</f>
        <v>419605.284253546</v>
      </c>
      <c r="E9" s="68" t="n">
        <f aca="false">Revenue!E25</f>
        <v>20391</v>
      </c>
      <c r="F9" s="68" t="n">
        <f aca="false">Revenue!F25</f>
        <v>20914</v>
      </c>
      <c r="G9" s="68" t="n">
        <f aca="false">Revenue!G25</f>
        <v>20965.8</v>
      </c>
      <c r="H9" s="68" t="n">
        <f aca="false">Revenue!H25</f>
        <v>22193.7</v>
      </c>
      <c r="I9" s="68" t="n">
        <f aca="false">Revenue!I25</f>
        <v>22582</v>
      </c>
      <c r="J9" s="68" t="n">
        <f aca="false">Revenue!J25</f>
        <v>23428.1</v>
      </c>
      <c r="K9" s="68" t="n">
        <f aca="false">Revenue!K25</f>
        <v>24582.2</v>
      </c>
      <c r="L9" s="68" t="n">
        <f aca="false">Revenue!L25</f>
        <v>24576.1</v>
      </c>
      <c r="M9" s="68" t="n">
        <f aca="false">Revenue!M25</f>
        <v>24996.9925146562</v>
      </c>
      <c r="N9" s="68" t="n">
        <f aca="false">Revenue!N25</f>
        <v>25427.202778888</v>
      </c>
      <c r="O9" s="68" t="n">
        <f aca="false">Revenue!O25</f>
        <v>26526.5648053701</v>
      </c>
      <c r="P9" s="68" t="n">
        <f aca="false">Revenue!P25</f>
        <v>27479.4991593433</v>
      </c>
      <c r="Q9" s="68" t="n">
        <f aca="false">Revenue!Q25</f>
        <v>31285.1806157636</v>
      </c>
      <c r="R9" s="68" t="n">
        <f aca="false">Revenue!R25</f>
        <v>32154.8836494135</v>
      </c>
      <c r="S9" s="68" t="n">
        <f aca="false">Revenue!S25</f>
        <v>33020.8709080457</v>
      </c>
      <c r="T9" s="68" t="n">
        <f aca="false">Revenue!T25</f>
        <v>33377.056348533</v>
      </c>
      <c r="U9" s="68" t="n">
        <f aca="false">Revenue!U25</f>
        <v>34442.1964017829</v>
      </c>
      <c r="V9" s="68" t="n">
        <f aca="false">Revenue!V25</f>
        <v>34748.7327665005</v>
      </c>
      <c r="W9" s="68" t="n">
        <f aca="false">Revenue!W25</f>
        <v>35194.4898065461</v>
      </c>
      <c r="X9" s="68" t="n">
        <f aca="false">Revenue!X25</f>
        <v>35598.5495264896</v>
      </c>
      <c r="Y9" s="68" t="n">
        <f aca="false">Revenue!Y25</f>
        <v>36458.1678793236</v>
      </c>
      <c r="Z9" s="68" t="n">
        <f aca="false">Revenue!Z25</f>
        <v>37114.6746798979</v>
      </c>
      <c r="AA9" s="68" t="n">
        <f aca="false">Revenue!AA25</f>
        <v>37766.3600899588</v>
      </c>
      <c r="AB9" s="68" t="n">
        <f aca="false">Revenue!AB25</f>
        <v>38444.1215812909</v>
      </c>
    </row>
    <row r="10" customFormat="false" ht="15" hidden="false" customHeight="false" outlineLevel="0" collapsed="false">
      <c r="A10" s="28" t="s">
        <v>44</v>
      </c>
      <c r="B10" s="62" t="s">
        <v>44</v>
      </c>
      <c r="C10" s="64" t="n">
        <f aca="false">SUM(E10:P10)</f>
        <v>2878561.65684007</v>
      </c>
      <c r="D10" s="64" t="n">
        <f aca="false">SUM(Q10:AB10)</f>
        <v>3799161.83576348</v>
      </c>
      <c r="E10" s="65" t="n">
        <f aca="false">Revenue!E20</f>
        <v>218187.834454545</v>
      </c>
      <c r="F10" s="65" t="n">
        <f aca="false">Revenue!F20</f>
        <v>204416.263818182</v>
      </c>
      <c r="G10" s="65" t="n">
        <f aca="false">Revenue!G20</f>
        <v>217312.087818182</v>
      </c>
      <c r="H10" s="65" t="n">
        <f aca="false">Revenue!H20</f>
        <v>215333.946636364</v>
      </c>
      <c r="I10" s="65" t="n">
        <f aca="false">Revenue!I20</f>
        <v>229047.308045455</v>
      </c>
      <c r="J10" s="65" t="n">
        <f aca="false">Revenue!J20</f>
        <v>253228.343454545</v>
      </c>
      <c r="K10" s="65" t="n">
        <f aca="false">Revenue!K20</f>
        <v>241381.616954546</v>
      </c>
      <c r="L10" s="65" t="n">
        <f aca="false">Revenue!L20</f>
        <v>237619.323363636</v>
      </c>
      <c r="M10" s="65" t="n">
        <f aca="false">Revenue!M20</f>
        <v>303373.565391272</v>
      </c>
      <c r="N10" s="65" t="n">
        <f aca="false">Revenue!N20</f>
        <v>243971.966369079</v>
      </c>
      <c r="O10" s="65" t="n">
        <f aca="false">Revenue!O20</f>
        <v>254362.81732459</v>
      </c>
      <c r="P10" s="65" t="n">
        <f aca="false">Revenue!P20</f>
        <v>260326.583209674</v>
      </c>
      <c r="Q10" s="65" t="n">
        <f aca="false">Revenue!Q20</f>
        <v>282210.016140078</v>
      </c>
      <c r="R10" s="65" t="n">
        <f aca="false">Revenue!R20</f>
        <v>276262.663058634</v>
      </c>
      <c r="S10" s="65" t="n">
        <f aca="false">Revenue!S20</f>
        <v>337526.801154481</v>
      </c>
      <c r="T10" s="65" t="n">
        <f aca="false">Revenue!T20</f>
        <v>287259.394775649</v>
      </c>
      <c r="U10" s="65" t="n">
        <f aca="false">Revenue!U20</f>
        <v>297502.154071043</v>
      </c>
      <c r="V10" s="65" t="n">
        <f aca="false">Revenue!V20</f>
        <v>331010.163671025</v>
      </c>
      <c r="W10" s="65" t="n">
        <f aca="false">Revenue!W20</f>
        <v>302674.414986241</v>
      </c>
      <c r="X10" s="65" t="n">
        <f aca="false">Revenue!X20</f>
        <v>306941.641052127</v>
      </c>
      <c r="Y10" s="65" t="n">
        <f aca="false">Revenue!Y20</f>
        <v>344667.093409854</v>
      </c>
      <c r="Z10" s="65" t="n">
        <f aca="false">Revenue!Z20</f>
        <v>352610.929700349</v>
      </c>
      <c r="AA10" s="65" t="n">
        <f aca="false">Revenue!AA20</f>
        <v>349504.198298336</v>
      </c>
      <c r="AB10" s="65" t="n">
        <f aca="false">Revenue!AB20</f>
        <v>330992.365445667</v>
      </c>
    </row>
    <row r="11" customFormat="false" ht="15" hidden="false" customHeight="false" outlineLevel="0" collapsed="false">
      <c r="A11" s="28" t="s">
        <v>1046</v>
      </c>
      <c r="B11" s="62" t="s">
        <v>1047</v>
      </c>
      <c r="C11" s="64" t="n">
        <f aca="false">SUM(E11:P11)</f>
        <v>98473.8856306742</v>
      </c>
      <c r="D11" s="64" t="n">
        <f aca="false">SUM(Q11:AB11)</f>
        <v>129231.611733069</v>
      </c>
      <c r="E11" s="65" t="n">
        <f aca="false">IF(Usage_Compute!E18=0,0,(Usage_Compute!E41+Usage_Compute!E42)*Usage_Compute!E15/Usage_Compute!E18)</f>
        <v>7621.59036852676</v>
      </c>
      <c r="F11" s="65" t="n">
        <f aca="false">IF(Usage_Compute!F18=0,0,(Usage_Compute!F41+Usage_Compute!F42)*Usage_Compute!F15/Usage_Compute!F18)</f>
        <v>7313.43795120103</v>
      </c>
      <c r="G11" s="65" t="n">
        <f aca="false">IF(Usage_Compute!G18=0,0,(Usage_Compute!G41+Usage_Compute!G42)*Usage_Compute!G15/Usage_Compute!G18)</f>
        <v>7780.66913252721</v>
      </c>
      <c r="H11" s="65" t="n">
        <f aca="false">IF(Usage_Compute!H18=0,0,(Usage_Compute!H41+Usage_Compute!H42)*Usage_Compute!H15/Usage_Compute!H18)</f>
        <v>7754.54656711636</v>
      </c>
      <c r="I11" s="65" t="n">
        <f aca="false">IF(Usage_Compute!I18=0,0,(Usage_Compute!I41+Usage_Compute!I42)*Usage_Compute!I15/Usage_Compute!I18)</f>
        <v>7932.5663647493</v>
      </c>
      <c r="J11" s="65" t="n">
        <f aca="false">IF(Usage_Compute!J18=0,0,(Usage_Compute!J41+Usage_Compute!J42)*Usage_Compute!J15/Usage_Compute!J18)</f>
        <v>8246.47358276019</v>
      </c>
      <c r="K11" s="65" t="n">
        <f aca="false">IF(Usage_Compute!K18=0,0,(Usage_Compute!K41+Usage_Compute!K42)*Usage_Compute!K15/Usage_Compute!K18)</f>
        <v>8515.94242638216</v>
      </c>
      <c r="L11" s="65" t="n">
        <f aca="false">IF(Usage_Compute!L18=0,0,(Usage_Compute!L41+Usage_Compute!L42)*Usage_Compute!L15/Usage_Compute!L18)</f>
        <v>8384.21653046532</v>
      </c>
      <c r="M11" s="65" t="n">
        <f aca="false">IF(Usage_Compute!M18=0,0,(Usage_Compute!M41+Usage_Compute!M42)*Usage_Compute!M15/Usage_Compute!M18)</f>
        <v>8559.7658900299</v>
      </c>
      <c r="N11" s="65" t="n">
        <f aca="false">IF(Usage_Compute!N18=0,0,(Usage_Compute!N41+Usage_Compute!N42)*Usage_Compute!N15/Usage_Compute!N18)</f>
        <v>8505.49373617284</v>
      </c>
      <c r="O11" s="65" t="n">
        <f aca="false">IF(Usage_Compute!O18=0,0,(Usage_Compute!O41+Usage_Compute!O42)*Usage_Compute!O15/Usage_Compute!O18)</f>
        <v>8769.68012302411</v>
      </c>
      <c r="P11" s="65" t="n">
        <f aca="false">IF(Usage_Compute!P18=0,0,(Usage_Compute!P41+Usage_Compute!P42)*Usage_Compute!P15/Usage_Compute!P18)</f>
        <v>9089.50295771905</v>
      </c>
      <c r="Q11" s="65" t="n">
        <f aca="false">IF(Usage_Compute!Q18=0,0,(Usage_Compute!Q41+Usage_Compute!Q42)*Usage_Compute!Q15/Usage_Compute!Q18)</f>
        <v>10243.7679996549</v>
      </c>
      <c r="R11" s="65" t="n">
        <f aca="false">IF(Usage_Compute!R18=0,0,(Usage_Compute!R41+Usage_Compute!R42)*Usage_Compute!R15/Usage_Compute!R18)</f>
        <v>10308.4433664815</v>
      </c>
      <c r="S11" s="65" t="n">
        <f aca="false">IF(Usage_Compute!S18=0,0,(Usage_Compute!S41+Usage_Compute!S42)*Usage_Compute!S15/Usage_Compute!S18)</f>
        <v>10703.3169563412</v>
      </c>
      <c r="T11" s="65" t="n">
        <f aca="false">IF(Usage_Compute!T18=0,0,(Usage_Compute!T41+Usage_Compute!T42)*Usage_Compute!T15/Usage_Compute!T18)</f>
        <v>10475.6999508858</v>
      </c>
      <c r="U11" s="65" t="n">
        <f aca="false">IF(Usage_Compute!U18=0,0,(Usage_Compute!U41+Usage_Compute!U42)*Usage_Compute!U15/Usage_Compute!U18)</f>
        <v>10814.454154892</v>
      </c>
      <c r="V11" s="65" t="n">
        <f aca="false">IF(Usage_Compute!V18=0,0,(Usage_Compute!V41+Usage_Compute!V42)*Usage_Compute!V15/Usage_Compute!V18)</f>
        <v>10836.0555634055</v>
      </c>
      <c r="W11" s="65" t="n">
        <f aca="false">IF(Usage_Compute!W18=0,0,(Usage_Compute!W41+Usage_Compute!W42)*Usage_Compute!W15/Usage_Compute!W18)</f>
        <v>10736.3655748168</v>
      </c>
      <c r="X11" s="65" t="n">
        <f aca="false">IF(Usage_Compute!X18=0,0,(Usage_Compute!X41+Usage_Compute!X42)*Usage_Compute!X15/Usage_Compute!X18)</f>
        <v>10840.0969563074</v>
      </c>
      <c r="Y11" s="65" t="n">
        <f aca="false">IF(Usage_Compute!Y18=0,0,(Usage_Compute!Y41+Usage_Compute!Y42)*Usage_Compute!Y15/Usage_Compute!Y18)</f>
        <v>11007.7962286701</v>
      </c>
      <c r="Z11" s="65" t="n">
        <f aca="false">IF(Usage_Compute!Z18=0,0,(Usage_Compute!Z41+Usage_Compute!Z42)*Usage_Compute!Z15/Usage_Compute!Z18)</f>
        <v>10944.577224223</v>
      </c>
      <c r="AA11" s="65" t="n">
        <f aca="false">IF(Usage_Compute!AA18=0,0,(Usage_Compute!AA41+Usage_Compute!AA42)*Usage_Compute!AA15/Usage_Compute!AA18)</f>
        <v>11048.766874806</v>
      </c>
      <c r="AB11" s="65" t="n">
        <f aca="false">IF(Usage_Compute!AB18=0,0,(Usage_Compute!AB41+Usage_Compute!AB42)*Usage_Compute!AB15/Usage_Compute!AB18)</f>
        <v>11272.2708825845</v>
      </c>
    </row>
    <row r="12" customFormat="false" ht="15" hidden="false" customHeight="false" outlineLevel="0" collapsed="false">
      <c r="A12" s="28" t="s">
        <v>1048</v>
      </c>
      <c r="B12" s="62"/>
      <c r="C12" s="64" t="n">
        <f aca="false">SUM(E12:P12)</f>
        <v>113203.523703303</v>
      </c>
      <c r="D12" s="64" t="n">
        <f aca="false">SUM(Q12:AB12)</f>
        <v>167842.113701418</v>
      </c>
      <c r="E12" s="65" t="n">
        <f aca="false">Usage_Compute!E45</f>
        <v>8172.87</v>
      </c>
      <c r="F12" s="65" t="n">
        <f aca="false">Usage_Compute!F45</f>
        <v>8429.57</v>
      </c>
      <c r="G12" s="65" t="n">
        <f aca="false">Usage_Compute!G45</f>
        <v>8033.9</v>
      </c>
      <c r="H12" s="65" t="n">
        <f aca="false">Usage_Compute!H45</f>
        <v>8834.88</v>
      </c>
      <c r="I12" s="65" t="n">
        <f aca="false">Usage_Compute!I45</f>
        <v>9004.17</v>
      </c>
      <c r="J12" s="65" t="n">
        <f aca="false">Usage_Compute!J45</f>
        <v>9240.64</v>
      </c>
      <c r="K12" s="65" t="n">
        <f aca="false">Usage_Compute!K45</f>
        <v>9844.35</v>
      </c>
      <c r="L12" s="65" t="n">
        <f aca="false">Usage_Compute!L45</f>
        <v>9871.04</v>
      </c>
      <c r="M12" s="65" t="n">
        <f aca="false">Usage_Compute!M45</f>
        <v>9998.79700586248</v>
      </c>
      <c r="N12" s="65" t="n">
        <f aca="false">Usage_Compute!N45</f>
        <v>10170.8811115552</v>
      </c>
      <c r="O12" s="65" t="n">
        <f aca="false">Usage_Compute!O45</f>
        <v>10610.6259221481</v>
      </c>
      <c r="P12" s="65" t="n">
        <f aca="false">Usage_Compute!P45</f>
        <v>10991.7996637373</v>
      </c>
      <c r="Q12" s="65" t="n">
        <f aca="false">Usage_Compute!Q45</f>
        <v>12514.0722463055</v>
      </c>
      <c r="R12" s="65" t="n">
        <f aca="false">Usage_Compute!R45</f>
        <v>12861.9534597654</v>
      </c>
      <c r="S12" s="65" t="n">
        <f aca="false">Usage_Compute!S45</f>
        <v>13208.3483632183</v>
      </c>
      <c r="T12" s="65" t="n">
        <f aca="false">Usage_Compute!T45</f>
        <v>13350.8225394132</v>
      </c>
      <c r="U12" s="65" t="n">
        <f aca="false">Usage_Compute!U45</f>
        <v>13776.8785607132</v>
      </c>
      <c r="V12" s="65" t="n">
        <f aca="false">Usage_Compute!V45</f>
        <v>13899.4931066002</v>
      </c>
      <c r="W12" s="65" t="n">
        <f aca="false">Usage_Compute!W45</f>
        <v>14077.7959226185</v>
      </c>
      <c r="X12" s="65" t="n">
        <f aca="false">Usage_Compute!X45</f>
        <v>14239.4198105958</v>
      </c>
      <c r="Y12" s="65" t="n">
        <f aca="false">Usage_Compute!Y45</f>
        <v>14583.2671517294</v>
      </c>
      <c r="Z12" s="65" t="n">
        <f aca="false">Usage_Compute!Z45</f>
        <v>14845.8698719591</v>
      </c>
      <c r="AA12" s="65" t="n">
        <f aca="false">Usage_Compute!AA45</f>
        <v>15106.5440359835</v>
      </c>
      <c r="AB12" s="65" t="n">
        <f aca="false">Usage_Compute!AB45</f>
        <v>15377.6486325164</v>
      </c>
    </row>
    <row r="13" customFormat="false" ht="15" hidden="false" customHeight="false" outlineLevel="0" collapsed="false">
      <c r="A13" s="28" t="s">
        <v>412</v>
      </c>
      <c r="B13" s="62" t="s">
        <v>1049</v>
      </c>
      <c r="C13" s="64" t="n">
        <f aca="false">SUM(E13:P13)</f>
        <v>168350.676503147</v>
      </c>
      <c r="D13" s="64" t="n">
        <f aca="false">SUM(Q13:AB13)</f>
        <v>210561.663274435</v>
      </c>
      <c r="E13" s="65" t="n">
        <f aca="false">Usage_Compute!E43*(Assumptions!$C$153*Usage_Compute!E9+Assumptions!$C$152*IF(Revenue!E15=0,0,Revenue!E20/Revenue!E15))/(Assumptions!$C$153*Usage_Compute!E9+Assumptions!$C$154*Usage_Compute!E10+Assumptions!$C$155*Usage_Compute!E11+Assumptions!$C$152)</f>
        <v>13424.2828790416</v>
      </c>
      <c r="F13" s="65" t="n">
        <f aca="false">Usage_Compute!F43*(Assumptions!$C$153*Usage_Compute!F9+Assumptions!$C$152*IF(Revenue!F15=0,0,Revenue!F20/Revenue!F15))/(Assumptions!$C$153*Usage_Compute!F9+Assumptions!$C$154*Usage_Compute!F10+Assumptions!$C$155*Usage_Compute!F11+Assumptions!$C$152)</f>
        <v>12850.8893784878</v>
      </c>
      <c r="G13" s="65" t="n">
        <f aca="false">Usage_Compute!G43*(Assumptions!$C$153*Usage_Compute!G9+Assumptions!$C$152*IF(Revenue!G15=0,0,Revenue!G20/Revenue!G15))/(Assumptions!$C$153*Usage_Compute!G9+Assumptions!$C$154*Usage_Compute!G10+Assumptions!$C$155*Usage_Compute!G11+Assumptions!$C$152)</f>
        <v>12559.8862559611</v>
      </c>
      <c r="H13" s="65" t="n">
        <f aca="false">Usage_Compute!H43*(Assumptions!$C$153*Usage_Compute!H9+Assumptions!$C$152*IF(Revenue!H15=0,0,Revenue!H20/Revenue!H15))/(Assumptions!$C$153*Usage_Compute!H9+Assumptions!$C$154*Usage_Compute!H10+Assumptions!$C$155*Usage_Compute!H11+Assumptions!$C$152)</f>
        <v>12958.8661001334</v>
      </c>
      <c r="I13" s="65" t="n">
        <f aca="false">Usage_Compute!I43*(Assumptions!$C$153*Usage_Compute!I9+Assumptions!$C$152*IF(Revenue!I15=0,0,Revenue!I20/Revenue!I15))/(Assumptions!$C$153*Usage_Compute!I9+Assumptions!$C$154*Usage_Compute!I10+Assumptions!$C$155*Usage_Compute!I11+Assumptions!$C$152)</f>
        <v>12945.4594910093</v>
      </c>
      <c r="J13" s="65" t="n">
        <f aca="false">Usage_Compute!J43*(Assumptions!$C$153*Usage_Compute!J9+Assumptions!$C$152*IF(Revenue!J15=0,0,Revenue!J20/Revenue!J15))/(Assumptions!$C$153*Usage_Compute!J9+Assumptions!$C$154*Usage_Compute!J10+Assumptions!$C$155*Usage_Compute!J11+Assumptions!$C$152)</f>
        <v>14596.4050994588</v>
      </c>
      <c r="K13" s="65" t="n">
        <f aca="false">Usage_Compute!K43*(Assumptions!$C$153*Usage_Compute!K9+Assumptions!$C$152*IF(Revenue!K15=0,0,Revenue!K20/Revenue!K15))/(Assumptions!$C$153*Usage_Compute!K9+Assumptions!$C$154*Usage_Compute!K10+Assumptions!$C$155*Usage_Compute!K11+Assumptions!$C$152)</f>
        <v>14898.4372412869</v>
      </c>
      <c r="L13" s="65" t="n">
        <f aca="false">Usage_Compute!L43*(Assumptions!$C$153*Usage_Compute!L9+Assumptions!$C$152*IF(Revenue!L15=0,0,Revenue!L20/Revenue!L15))/(Assumptions!$C$153*Usage_Compute!L9+Assumptions!$C$154*Usage_Compute!L10+Assumptions!$C$155*Usage_Compute!L11+Assumptions!$C$152)</f>
        <v>14577.1593833554</v>
      </c>
      <c r="M13" s="65" t="n">
        <f aca="false">Usage_Compute!M43*(Assumptions!$C$153*Usage_Compute!M9+Assumptions!$C$152*IF(Revenue!M15=0,0,Revenue!M20/Revenue!M15))/(Assumptions!$C$153*Usage_Compute!M9+Assumptions!$C$154*Usage_Compute!M10+Assumptions!$C$155*Usage_Compute!M11+Assumptions!$C$152)</f>
        <v>14830.7794634747</v>
      </c>
      <c r="N13" s="65" t="n">
        <f aca="false">Usage_Compute!N43*(Assumptions!$C$153*Usage_Compute!N9+Assumptions!$C$152*IF(Revenue!N15=0,0,Revenue!N20/Revenue!N15))/(Assumptions!$C$153*Usage_Compute!N9+Assumptions!$C$154*Usage_Compute!N10+Assumptions!$C$155*Usage_Compute!N11+Assumptions!$C$152)</f>
        <v>14562.2245029226</v>
      </c>
      <c r="O13" s="65" t="n">
        <f aca="false">Usage_Compute!O43*(Assumptions!$C$153*Usage_Compute!O9+Assumptions!$C$152*IF(Revenue!O15=0,0,Revenue!O20/Revenue!O15))/(Assumptions!$C$153*Usage_Compute!O9+Assumptions!$C$154*Usage_Compute!O10+Assumptions!$C$155*Usage_Compute!O11+Assumptions!$C$152)</f>
        <v>14919.1845755697</v>
      </c>
      <c r="P13" s="65" t="n">
        <f aca="false">Usage_Compute!P43*(Assumptions!$C$153*Usage_Compute!P9+Assumptions!$C$152*IF(Revenue!P15=0,0,Revenue!P20/Revenue!P15))/(Assumptions!$C$153*Usage_Compute!P9+Assumptions!$C$154*Usage_Compute!P10+Assumptions!$C$155*Usage_Compute!P11+Assumptions!$C$152)</f>
        <v>15227.1021324459</v>
      </c>
      <c r="Q13" s="65" t="n">
        <f aca="false">Usage_Compute!Q43*(Assumptions!$C$153*Usage_Compute!Q9+Assumptions!$C$152*IF(Revenue!Q15=0,0,Revenue!Q20/Revenue!Q15))/(Assumptions!$C$153*Usage_Compute!Q9+Assumptions!$C$154*Usage_Compute!Q10+Assumptions!$C$155*Usage_Compute!Q11+Assumptions!$C$152)</f>
        <v>16464.8559175688</v>
      </c>
      <c r="R13" s="65" t="n">
        <f aca="false">Usage_Compute!R43*(Assumptions!$C$153*Usage_Compute!R9+Assumptions!$C$152*IF(Revenue!R15=0,0,Revenue!R20/Revenue!R15))/(Assumptions!$C$153*Usage_Compute!R9+Assumptions!$C$154*Usage_Compute!R10+Assumptions!$C$155*Usage_Compute!R11+Assumptions!$C$152)</f>
        <v>16669.7971138266</v>
      </c>
      <c r="S13" s="65" t="n">
        <f aca="false">Usage_Compute!S43*(Assumptions!$C$153*Usage_Compute!S9+Assumptions!$C$152*IF(Revenue!S15=0,0,Revenue!S20/Revenue!S15))/(Assumptions!$C$153*Usage_Compute!S9+Assumptions!$C$154*Usage_Compute!S10+Assumptions!$C$155*Usage_Compute!S11+Assumptions!$C$152)</f>
        <v>17078.3180463445</v>
      </c>
      <c r="T13" s="65" t="n">
        <f aca="false">Usage_Compute!T43*(Assumptions!$C$153*Usage_Compute!T9+Assumptions!$C$152*IF(Revenue!T15=0,0,Revenue!T20/Revenue!T15))/(Assumptions!$C$153*Usage_Compute!T9+Assumptions!$C$154*Usage_Compute!T10+Assumptions!$C$155*Usage_Compute!T11+Assumptions!$C$152)</f>
        <v>17034.1907812664</v>
      </c>
      <c r="U13" s="65" t="n">
        <f aca="false">Usage_Compute!U43*(Assumptions!$C$153*Usage_Compute!U9+Assumptions!$C$152*IF(Revenue!U15=0,0,Revenue!U20/Revenue!U15))/(Assumptions!$C$153*Usage_Compute!U9+Assumptions!$C$154*Usage_Compute!U10+Assumptions!$C$155*Usage_Compute!U11+Assumptions!$C$152)</f>
        <v>17369.7516292779</v>
      </c>
      <c r="V13" s="65" t="n">
        <f aca="false">Usage_Compute!V43*(Assumptions!$C$153*Usage_Compute!V9+Assumptions!$C$152*IF(Revenue!V15=0,0,Revenue!V20/Revenue!V15))/(Assumptions!$C$153*Usage_Compute!V9+Assumptions!$C$154*Usage_Compute!V10+Assumptions!$C$155*Usage_Compute!V11+Assumptions!$C$152)</f>
        <v>17074.5759673339</v>
      </c>
      <c r="W13" s="65" t="n">
        <f aca="false">Usage_Compute!W43*(Assumptions!$C$153*Usage_Compute!W9+Assumptions!$C$152*IF(Revenue!W15=0,0,Revenue!W20/Revenue!W15))/(Assumptions!$C$153*Usage_Compute!W9+Assumptions!$C$154*Usage_Compute!W10+Assumptions!$C$155*Usage_Compute!W11+Assumptions!$C$152)</f>
        <v>17598.7722319629</v>
      </c>
      <c r="X13" s="65" t="n">
        <f aca="false">Usage_Compute!X43*(Assumptions!$C$153*Usage_Compute!X9+Assumptions!$C$152*IF(Revenue!X15=0,0,Revenue!X20/Revenue!X15))/(Assumptions!$C$153*Usage_Compute!X9+Assumptions!$C$154*Usage_Compute!X10+Assumptions!$C$155*Usage_Compute!X11+Assumptions!$C$152)</f>
        <v>17652.5344215737</v>
      </c>
      <c r="Y13" s="65" t="n">
        <f aca="false">Usage_Compute!Y43*(Assumptions!$C$153*Usage_Compute!Y9+Assumptions!$C$152*IF(Revenue!Y15=0,0,Revenue!Y20/Revenue!Y15))/(Assumptions!$C$153*Usage_Compute!Y9+Assumptions!$C$154*Usage_Compute!Y10+Assumptions!$C$155*Usage_Compute!Y11+Assumptions!$C$152)</f>
        <v>18175.0881822243</v>
      </c>
      <c r="Z13" s="65" t="n">
        <f aca="false">Usage_Compute!Z43*(Assumptions!$C$153*Usage_Compute!Z9+Assumptions!$C$152*IF(Revenue!Z15=0,0,Revenue!Z20/Revenue!Z15))/(Assumptions!$C$153*Usage_Compute!Z9+Assumptions!$C$154*Usage_Compute!Z10+Assumptions!$C$155*Usage_Compute!Z11+Assumptions!$C$152)</f>
        <v>18287.8695544614</v>
      </c>
      <c r="AA13" s="65" t="n">
        <f aca="false">Usage_Compute!AA43*(Assumptions!$C$153*Usage_Compute!AA9+Assumptions!$C$152*IF(Revenue!AA15=0,0,Revenue!AA20/Revenue!AA15))/(Assumptions!$C$153*Usage_Compute!AA9+Assumptions!$C$154*Usage_Compute!AA10+Assumptions!$C$155*Usage_Compute!AA11+Assumptions!$C$152)</f>
        <v>18539.398402745</v>
      </c>
      <c r="AB13" s="65" t="n">
        <f aca="false">Usage_Compute!AB43*(Assumptions!$C$153*Usage_Compute!AB9+Assumptions!$C$152*IF(Revenue!AB15=0,0,Revenue!AB20/Revenue!AB15))/(Assumptions!$C$153*Usage_Compute!AB9+Assumptions!$C$154*Usage_Compute!AB10+Assumptions!$C$155*Usage_Compute!AB11+Assumptions!$C$152)</f>
        <v>18616.5110258492</v>
      </c>
    </row>
    <row r="14" customFormat="false" ht="15" hidden="false" customHeight="false" outlineLevel="0" collapsed="false">
      <c r="A14" s="58" t="s">
        <v>1050</v>
      </c>
      <c r="B14" s="59"/>
      <c r="C14" s="60" t="n">
        <f aca="false">SUM(E14:P14)</f>
        <v>380028.085837124</v>
      </c>
      <c r="D14" s="60" t="n">
        <f aca="false">SUM(Q14:AB14)</f>
        <v>507635.388708922</v>
      </c>
      <c r="E14" s="60" t="n">
        <f aca="false">E11+E12+E13</f>
        <v>29218.7432475684</v>
      </c>
      <c r="F14" s="60" t="n">
        <f aca="false">F11+F12+F13</f>
        <v>28593.8973296888</v>
      </c>
      <c r="G14" s="60" t="n">
        <f aca="false">G11+G12+G13</f>
        <v>28374.4553884883</v>
      </c>
      <c r="H14" s="60" t="n">
        <f aca="false">H11+H12+H13</f>
        <v>29548.2926672497</v>
      </c>
      <c r="I14" s="60" t="n">
        <f aca="false">I11+I12+I13</f>
        <v>29882.1958557586</v>
      </c>
      <c r="J14" s="60" t="n">
        <f aca="false">J11+J12+J13</f>
        <v>32083.518682219</v>
      </c>
      <c r="K14" s="60" t="n">
        <f aca="false">K11+K12+K13</f>
        <v>33258.7296676691</v>
      </c>
      <c r="L14" s="60" t="n">
        <f aca="false">L11+L12+L13</f>
        <v>32832.4159138208</v>
      </c>
      <c r="M14" s="60" t="n">
        <f aca="false">M11+M12+M13</f>
        <v>33389.3423593671</v>
      </c>
      <c r="N14" s="60" t="n">
        <f aca="false">N11+N12+N13</f>
        <v>33238.5993506506</v>
      </c>
      <c r="O14" s="60" t="n">
        <f aca="false">O11+O12+O13</f>
        <v>34299.4906207419</v>
      </c>
      <c r="P14" s="60" t="n">
        <f aca="false">P11+P12+P13</f>
        <v>35308.4047539023</v>
      </c>
      <c r="Q14" s="60" t="n">
        <f aca="false">Q11+Q12+Q13</f>
        <v>39222.6961635292</v>
      </c>
      <c r="R14" s="60" t="n">
        <f aca="false">R11+R12+R13</f>
        <v>39840.1939400735</v>
      </c>
      <c r="S14" s="60" t="n">
        <f aca="false">S11+S12+S13</f>
        <v>40989.983365904</v>
      </c>
      <c r="T14" s="60" t="n">
        <f aca="false">T11+T12+T13</f>
        <v>40860.7132715654</v>
      </c>
      <c r="U14" s="60" t="n">
        <f aca="false">U11+U12+U13</f>
        <v>41961.0843448831</v>
      </c>
      <c r="V14" s="60" t="n">
        <f aca="false">V11+V12+V13</f>
        <v>41810.1246373397</v>
      </c>
      <c r="W14" s="60" t="n">
        <f aca="false">W11+W12+W13</f>
        <v>42412.9337293982</v>
      </c>
      <c r="X14" s="60" t="n">
        <f aca="false">X11+X12+X13</f>
        <v>42732.051188477</v>
      </c>
      <c r="Y14" s="60" t="n">
        <f aca="false">Y11+Y12+Y13</f>
        <v>43766.1515626238</v>
      </c>
      <c r="Z14" s="60" t="n">
        <f aca="false">Z11+Z12+Z13</f>
        <v>44078.3166506435</v>
      </c>
      <c r="AA14" s="60" t="n">
        <f aca="false">AA11+AA12+AA13</f>
        <v>44694.7093135346</v>
      </c>
      <c r="AB14" s="60" t="n">
        <f aca="false">AB11+AB12+AB13</f>
        <v>45266.4305409501</v>
      </c>
    </row>
    <row r="15" customFormat="false" ht="15" hidden="false" customHeight="false" outlineLevel="0" collapsed="false">
      <c r="A15" s="28" t="s">
        <v>1051</v>
      </c>
      <c r="B15" s="62"/>
      <c r="C15" s="71" t="n">
        <f aca="false">IF(C9=0,0,C10/C9)</f>
        <v>10.1335268690123</v>
      </c>
      <c r="D15" s="71" t="n">
        <f aca="false">IF(D9=0,0,D10/D9)</f>
        <v>9.05413248672971</v>
      </c>
      <c r="E15" s="113" t="n">
        <f aca="false">IF(E9=0,0,E10/E9)</f>
        <v>10.7002027587929</v>
      </c>
      <c r="F15" s="113" t="n">
        <f aca="false">IF(F9=0,0,F10/F9)</f>
        <v>9.7741352117329</v>
      </c>
      <c r="G15" s="113" t="n">
        <f aca="false">IF(G9=0,0,G10/G9)</f>
        <v>10.3650749228831</v>
      </c>
      <c r="H15" s="113" t="n">
        <f aca="false">IF(H9=0,0,H10/H9)</f>
        <v>9.70248073265673</v>
      </c>
      <c r="I15" s="113" t="n">
        <f aca="false">IF(I9=0,0,I10/I9)</f>
        <v>10.142915067109</v>
      </c>
      <c r="J15" s="113" t="n">
        <f aca="false">IF(J9=0,0,J10/J9)</f>
        <v>10.8087443477937</v>
      </c>
      <c r="K15" s="113" t="n">
        <f aca="false">IF(K9=0,0,K10/K9)</f>
        <v>9.81936592146128</v>
      </c>
      <c r="L15" s="113" t="n">
        <f aca="false">IF(L9=0,0,L10/L9)</f>
        <v>9.66871567757441</v>
      </c>
      <c r="M15" s="113" t="n">
        <f aca="false">IF(M9=0,0,M10/M9)</f>
        <v>12.1364026177709</v>
      </c>
      <c r="N15" s="113" t="n">
        <f aca="false">IF(N9=0,0,N10/N9)</f>
        <v>9.59491960207463</v>
      </c>
      <c r="O15" s="113" t="n">
        <f aca="false">IF(O9=0,0,O10/O9)</f>
        <v>9.58898444600319</v>
      </c>
      <c r="P15" s="113" t="n">
        <f aca="false">IF(P9=0,0,P10/P9)</f>
        <v>9.47348354859519</v>
      </c>
      <c r="Q15" s="113" t="n">
        <f aca="false">IF(Q9=0,0,Q10/Q9)</f>
        <v>9.02056534709219</v>
      </c>
      <c r="R15" s="113" t="n">
        <f aca="false">IF(R9=0,0,R10/R9)</f>
        <v>8.59162378165449</v>
      </c>
      <c r="S15" s="113" t="n">
        <f aca="false">IF(S9=0,0,S10/S9)</f>
        <v>10.2216202017931</v>
      </c>
      <c r="T15" s="113" t="n">
        <f aca="false">IF(T9=0,0,T10/T9)</f>
        <v>8.60649278881882</v>
      </c>
      <c r="U15" s="113" t="n">
        <f aca="false">IF(U9=0,0,U10/U9)</f>
        <v>8.63772305925424</v>
      </c>
      <c r="V15" s="113" t="n">
        <f aca="false">IF(V9=0,0,V10/V9)</f>
        <v>9.5258197153634</v>
      </c>
      <c r="W15" s="113" t="n">
        <f aca="false">IF(W9=0,0,W10/W9)</f>
        <v>8.60005121966406</v>
      </c>
      <c r="X15" s="113" t="n">
        <f aca="false">IF(X9=0,0,X10/X9)</f>
        <v>8.62230751350489</v>
      </c>
      <c r="Y15" s="113" t="n">
        <f aca="false">IF(Y9=0,0,Y10/Y9)</f>
        <v>9.45376889345348</v>
      </c>
      <c r="Z15" s="113" t="n">
        <f aca="false">IF(Z9=0,0,Z10/Z9)</f>
        <v>9.50057983106426</v>
      </c>
      <c r="AA15" s="113" t="n">
        <f aca="false">IF(AA9=0,0,AA10/AA9)</f>
        <v>9.25437869749223</v>
      </c>
      <c r="AB15" s="113" t="n">
        <f aca="false">IF(AB9=0,0,AB10/AB9)</f>
        <v>8.60970030868769</v>
      </c>
    </row>
    <row r="16" customFormat="false" ht="15" hidden="false" customHeight="false" outlineLevel="0" collapsed="false">
      <c r="A16" s="28" t="s">
        <v>1052</v>
      </c>
      <c r="B16" s="62"/>
      <c r="C16" s="71" t="n">
        <f aca="false">IF(C9=0,0,C14/C9)</f>
        <v>1.33782954054813</v>
      </c>
      <c r="D16" s="71" t="n">
        <f aca="false">IF(D9=0,0,D14/D9)</f>
        <v>1.20979264980415</v>
      </c>
      <c r="E16" s="113" t="n">
        <f aca="false">IF(E9=0,0,E14/E9)</f>
        <v>1.43292350780091</v>
      </c>
      <c r="F16" s="113" t="n">
        <f aca="false">IF(F9=0,0,F14/F9)</f>
        <v>1.36721322222859</v>
      </c>
      <c r="G16" s="113" t="n">
        <f aca="false">IF(G9=0,0,G14/G9)</f>
        <v>1.35336859974283</v>
      </c>
      <c r="H16" s="113" t="n">
        <f aca="false">IF(H9=0,0,H14/H9)</f>
        <v>1.33138199882172</v>
      </c>
      <c r="I16" s="113" t="n">
        <f aca="false">IF(I9=0,0,I14/I9)</f>
        <v>1.3232749913984</v>
      </c>
      <c r="J16" s="113" t="n">
        <f aca="false">IF(J9=0,0,J14/J9)</f>
        <v>1.36944603626495</v>
      </c>
      <c r="K16" s="113" t="n">
        <f aca="false">IF(K9=0,0,K14/K9)</f>
        <v>1.35295985174919</v>
      </c>
      <c r="L16" s="113" t="n">
        <f aca="false">IF(L9=0,0,L14/L9)</f>
        <v>1.33594898758634</v>
      </c>
      <c r="M16" s="113" t="n">
        <f aca="false">IF(M9=0,0,M14/M9)</f>
        <v>1.33573438243782</v>
      </c>
      <c r="N16" s="113" t="n">
        <f aca="false">IF(N9=0,0,N14/N9)</f>
        <v>1.30720628767897</v>
      </c>
      <c r="O16" s="113" t="n">
        <f aca="false">IF(O9=0,0,O14/O9)</f>
        <v>1.29302421449603</v>
      </c>
      <c r="P16" s="113" t="n">
        <f aca="false">IF(P9=0,0,P14/P9)</f>
        <v>1.28489986477417</v>
      </c>
      <c r="Q16" s="113" t="n">
        <f aca="false">IF(Q9=0,0,Q14/Q9)</f>
        <v>1.2537148704766</v>
      </c>
      <c r="R16" s="113" t="n">
        <f aca="false">IF(R9=0,0,R14/R9)</f>
        <v>1.23900911520792</v>
      </c>
      <c r="S16" s="113" t="n">
        <f aca="false">IF(S9=0,0,S14/S9)</f>
        <v>1.24133562315937</v>
      </c>
      <c r="T16" s="113" t="n">
        <f aca="false">IF(T9=0,0,T14/T9)</f>
        <v>1.22421560622021</v>
      </c>
      <c r="U16" s="113" t="n">
        <f aca="false">IF(U9=0,0,U14/U9)</f>
        <v>1.21830454293301</v>
      </c>
      <c r="V16" s="113" t="n">
        <f aca="false">IF(V9=0,0,V14/V9)</f>
        <v>1.20321293205969</v>
      </c>
      <c r="W16" s="113" t="n">
        <f aca="false">IF(W9=0,0,W14/W9)</f>
        <v>1.20510153613619</v>
      </c>
      <c r="X16" s="113" t="n">
        <f aca="false">IF(X9=0,0,X14/X9)</f>
        <v>1.20038742468086</v>
      </c>
      <c r="Y16" s="113" t="n">
        <f aca="false">IF(Y9=0,0,Y14/Y9)</f>
        <v>1.20044846212486</v>
      </c>
      <c r="Z16" s="113" t="n">
        <f aca="false">IF(Z9=0,0,Z14/Z9)</f>
        <v>1.18762503055206</v>
      </c>
      <c r="AA16" s="113" t="n">
        <f aca="false">IF(AA9=0,0,AA14/AA9)</f>
        <v>1.18345292495948</v>
      </c>
      <c r="AB16" s="113" t="n">
        <f aca="false">IF(AB9=0,0,AB14/AB9)</f>
        <v>1.17746039391831</v>
      </c>
    </row>
    <row r="17" customFormat="false" ht="15" hidden="false" customHeight="false" outlineLevel="0" collapsed="false">
      <c r="A17" s="28" t="s">
        <v>1053</v>
      </c>
      <c r="B17" s="62"/>
      <c r="C17" s="71" t="n">
        <f aca="false">IF(C9=0,0,C11/C9)</f>
        <v>0.346661939153983</v>
      </c>
      <c r="D17" s="71" t="n">
        <f aca="false">IF(D9=0,0,D11/D9)</f>
        <v>0.307983756598691</v>
      </c>
      <c r="E17" s="113" t="n">
        <f aca="false">IF(E9=0,0,E11/E9)</f>
        <v>0.373772270537333</v>
      </c>
      <c r="F17" s="113" t="n">
        <f aca="false">IF(F9=0,0,F11/F9)</f>
        <v>0.349691018035815</v>
      </c>
      <c r="G17" s="113" t="n">
        <f aca="false">IF(G9=0,0,G11/G9)</f>
        <v>0.37111243704162</v>
      </c>
      <c r="H17" s="113" t="n">
        <f aca="false">IF(H9=0,0,H11/H9)</f>
        <v>0.349403054340482</v>
      </c>
      <c r="I17" s="113" t="n">
        <f aca="false">IF(I9=0,0,I11/I9)</f>
        <v>0.351278290884302</v>
      </c>
      <c r="J17" s="113" t="n">
        <f aca="false">IF(J9=0,0,J11/J9)</f>
        <v>0.351990711272369</v>
      </c>
      <c r="K17" s="113" t="n">
        <f aca="false">IF(K9=0,0,K11/K9)</f>
        <v>0.346427188224901</v>
      </c>
      <c r="L17" s="113" t="n">
        <f aca="false">IF(L9=0,0,L11/L9)</f>
        <v>0.341153255824371</v>
      </c>
      <c r="M17" s="113" t="n">
        <f aca="false">IF(M9=0,0,M11/M9)</f>
        <v>0.342431829949589</v>
      </c>
      <c r="N17" s="113" t="n">
        <f aca="false">IF(N9=0,0,N11/N9)</f>
        <v>0.334503712820306</v>
      </c>
      <c r="O17" s="113" t="n">
        <f aca="false">IF(O9=0,0,O11/O9)</f>
        <v>0.330599917002775</v>
      </c>
      <c r="P17" s="113" t="n">
        <f aca="false">IF(P9=0,0,P11/P9)</f>
        <v>0.330773967349711</v>
      </c>
      <c r="Q17" s="113" t="n">
        <f aca="false">IF(Q9=0,0,Q11/Q9)</f>
        <v>0.327431959734105</v>
      </c>
      <c r="R17" s="113" t="n">
        <f aca="false">IF(R9=0,0,R11/R9)</f>
        <v>0.32058717670619</v>
      </c>
      <c r="S17" s="113" t="n">
        <f aca="false">IF(S9=0,0,S11/S9)</f>
        <v>0.324137936462884</v>
      </c>
      <c r="T17" s="113" t="n">
        <f aca="false">IF(T9=0,0,T11/T9)</f>
        <v>0.313859312262155</v>
      </c>
      <c r="U17" s="113" t="n">
        <f aca="false">IF(U9=0,0,U11/U9)</f>
        <v>0.313988516549201</v>
      </c>
      <c r="V17" s="113" t="n">
        <f aca="false">IF(V9=0,0,V11/V9)</f>
        <v>0.311840309004074</v>
      </c>
      <c r="W17" s="113" t="n">
        <f aca="false">IF(W9=0,0,W11/W9)</f>
        <v>0.30505813932327</v>
      </c>
      <c r="X17" s="113" t="n">
        <f aca="false">IF(X9=0,0,X11/X9)</f>
        <v>0.304509512339571</v>
      </c>
      <c r="Y17" s="113" t="n">
        <f aca="false">IF(Y9=0,0,Y11/Y9)</f>
        <v>0.301929495335746</v>
      </c>
      <c r="Z17" s="113" t="n">
        <f aca="false">IF(Z9=0,0,Z11/Z9)</f>
        <v>0.294885441368313</v>
      </c>
      <c r="AA17" s="113" t="n">
        <f aca="false">IF(AA9=0,0,AA11/AA9)</f>
        <v>0.292555778435836</v>
      </c>
      <c r="AB17" s="113" t="n">
        <f aca="false">IF(AB9=0,0,AB11/AB9)</f>
        <v>0.293211820661556</v>
      </c>
    </row>
    <row r="18" customFormat="false" ht="15" hidden="false" customHeight="false" outlineLevel="0" collapsed="false">
      <c r="A18" s="28" t="s">
        <v>1054</v>
      </c>
      <c r="B18" s="62"/>
      <c r="C18" s="71" t="n">
        <f aca="false">IF(C9=0,0,C12/C9)</f>
        <v>0.398515330178326</v>
      </c>
      <c r="D18" s="71" t="n">
        <f aca="false">IF(D9=0,0,D12/D9)</f>
        <v>0.4</v>
      </c>
      <c r="E18" s="113" t="n">
        <f aca="false">IF(E9=0,0,E12/E9)</f>
        <v>0.400807709283507</v>
      </c>
      <c r="F18" s="113" t="n">
        <f aca="false">IF(F9=0,0,F12/F9)</f>
        <v>0.403058716649135</v>
      </c>
      <c r="G18" s="113" t="n">
        <f aca="false">IF(G9=0,0,G12/G9)</f>
        <v>0.383190720125156</v>
      </c>
      <c r="H18" s="113" t="n">
        <f aca="false">IF(H9=0,0,H12/H9)</f>
        <v>0.398080536368429</v>
      </c>
      <c r="I18" s="113" t="n">
        <f aca="false">IF(I9=0,0,I12/I9)</f>
        <v>0.398732176069436</v>
      </c>
      <c r="J18" s="113" t="n">
        <f aca="false">IF(J9=0,0,J12/J9)</f>
        <v>0.394425497586232</v>
      </c>
      <c r="K18" s="113" t="n">
        <f aca="false">IF(K9=0,0,K12/K9)</f>
        <v>0.400466597782135</v>
      </c>
      <c r="L18" s="113" t="n">
        <f aca="false">IF(L9=0,0,L12/L9)</f>
        <v>0.401652011507115</v>
      </c>
      <c r="M18" s="113" t="n">
        <f aca="false">IF(M9=0,0,M12/M9)</f>
        <v>0.4</v>
      </c>
      <c r="N18" s="113" t="n">
        <f aca="false">IF(N9=0,0,N12/N9)</f>
        <v>0.4</v>
      </c>
      <c r="O18" s="113" t="n">
        <f aca="false">IF(O9=0,0,O12/O9)</f>
        <v>0.4</v>
      </c>
      <c r="P18" s="113" t="n">
        <f aca="false">IF(P9=0,0,P12/P9)</f>
        <v>0.4</v>
      </c>
      <c r="Q18" s="113" t="n">
        <f aca="false">IF(Q9=0,0,Q12/Q9)</f>
        <v>0.4</v>
      </c>
      <c r="R18" s="113" t="n">
        <f aca="false">IF(R9=0,0,R12/R9)</f>
        <v>0.4</v>
      </c>
      <c r="S18" s="113" t="n">
        <f aca="false">IF(S9=0,0,S12/S9)</f>
        <v>0.4</v>
      </c>
      <c r="T18" s="113" t="n">
        <f aca="false">IF(T9=0,0,T12/T9)</f>
        <v>0.4</v>
      </c>
      <c r="U18" s="113" t="n">
        <f aca="false">IF(U9=0,0,U12/U9)</f>
        <v>0.4</v>
      </c>
      <c r="V18" s="113" t="n">
        <f aca="false">IF(V9=0,0,V12/V9)</f>
        <v>0.4</v>
      </c>
      <c r="W18" s="113" t="n">
        <f aca="false">IF(W9=0,0,W12/W9)</f>
        <v>0.4</v>
      </c>
      <c r="X18" s="113" t="n">
        <f aca="false">IF(X9=0,0,X12/X9)</f>
        <v>0.4</v>
      </c>
      <c r="Y18" s="113" t="n">
        <f aca="false">IF(Y9=0,0,Y12/Y9)</f>
        <v>0.4</v>
      </c>
      <c r="Z18" s="113" t="n">
        <f aca="false">IF(Z9=0,0,Z12/Z9)</f>
        <v>0.4</v>
      </c>
      <c r="AA18" s="113" t="n">
        <f aca="false">IF(AA9=0,0,AA12/AA9)</f>
        <v>0.4</v>
      </c>
      <c r="AB18" s="113" t="n">
        <f aca="false">IF(AB9=0,0,AB12/AB9)</f>
        <v>0.4</v>
      </c>
    </row>
    <row r="19" customFormat="false" ht="15" hidden="false" customHeight="false" outlineLevel="0" collapsed="false">
      <c r="A19" s="28" t="s">
        <v>1055</v>
      </c>
      <c r="B19" s="62"/>
      <c r="C19" s="66" t="n">
        <f aca="false">IF(C10=0,0,C14/C10)</f>
        <v>0.132020130586433</v>
      </c>
      <c r="D19" s="66" t="n">
        <f aca="false">IF(D10=0,0,D14/D10)</f>
        <v>0.133617732187738</v>
      </c>
      <c r="E19" s="75" t="n">
        <f aca="false">IF(E10=0,0,E14/E10)</f>
        <v>0.133915547219272</v>
      </c>
      <c r="F19" s="75" t="n">
        <f aca="false">IF(F10=0,0,F14/F10)</f>
        <v>0.139880735493344</v>
      </c>
      <c r="G19" s="75" t="n">
        <f aca="false">IF(G10=0,0,G14/G10)</f>
        <v>0.130570074004481</v>
      </c>
      <c r="H19" s="75" t="n">
        <f aca="false">IF(H10=0,0,H14/H10)</f>
        <v>0.137220782551059</v>
      </c>
      <c r="I19" s="75" t="n">
        <f aca="false">IF(I10=0,0,I14/I10)</f>
        <v>0.130462986492854</v>
      </c>
      <c r="J19" s="75" t="n">
        <f aca="false">IF(J10=0,0,J14/J10)</f>
        <v>0.126697976397646</v>
      </c>
      <c r="K19" s="75" t="n">
        <f aca="false">IF(K10=0,0,K14/K10)</f>
        <v>0.137784849100302</v>
      </c>
      <c r="L19" s="75" t="n">
        <f aca="false">IF(L10=0,0,L14/L10)</f>
        <v>0.138172331479861</v>
      </c>
      <c r="M19" s="75" t="n">
        <f aca="false">IF(M10=0,0,M14/M10)</f>
        <v>0.110060157404629</v>
      </c>
      <c r="N19" s="75" t="n">
        <f aca="false">IF(N10=0,0,N14/N10)</f>
        <v>0.136239420640515</v>
      </c>
      <c r="O19" s="75" t="n">
        <f aca="false">IF(O10=0,0,O14/O10)</f>
        <v>0.134844750429748</v>
      </c>
      <c r="P19" s="75" t="n">
        <f aca="false">IF(P10=0,0,P14/P10)</f>
        <v>0.135631191861278</v>
      </c>
      <c r="Q19" s="75" t="n">
        <f aca="false">IF(Q10=0,0,Q14/Q10)</f>
        <v>0.138984068319037</v>
      </c>
      <c r="R19" s="75" t="n">
        <f aca="false">IF(R10=0,0,R14/R10)</f>
        <v>0.144211286096297</v>
      </c>
      <c r="S19" s="75" t="n">
        <f aca="false">IF(S10=0,0,S14/S10)</f>
        <v>0.12144215874325</v>
      </c>
      <c r="T19" s="75" t="n">
        <f aca="false">IF(T10=0,0,T14/T10)</f>
        <v>0.142243261716394</v>
      </c>
      <c r="U19" s="75" t="n">
        <f aca="false">IF(U10=0,0,U14/U10)</f>
        <v>0.141044640419185</v>
      </c>
      <c r="V19" s="75" t="n">
        <f aca="false">IF(V10=0,0,V14/V10)</f>
        <v>0.126310697453063</v>
      </c>
      <c r="W19" s="75" t="n">
        <f aca="false">IF(W10=0,0,W14/W10)</f>
        <v>0.140127251030868</v>
      </c>
      <c r="X19" s="75" t="n">
        <f aca="false">IF(X10=0,0,X14/X10)</f>
        <v>0.139218813850089</v>
      </c>
      <c r="Y19" s="75" t="n">
        <f aca="false">IF(Y10=0,0,Y14/Y10)</f>
        <v>0.126980940157754</v>
      </c>
      <c r="Z19" s="75" t="n">
        <f aca="false">IF(Z10=0,0,Z14/Z10)</f>
        <v>0.125005531417025</v>
      </c>
      <c r="AA19" s="75" t="n">
        <f aca="false">IF(AA10=0,0,AA14/AA10)</f>
        <v>0.127880321698978</v>
      </c>
      <c r="AB19" s="75" t="n">
        <f aca="false">IF(AB10=0,0,AB14/AB10)</f>
        <v>0.136759742116712</v>
      </c>
    </row>
    <row r="20" customFormat="false" ht="15" hidden="false" customHeight="false" outlineLevel="0" collapsed="false">
      <c r="A20" s="28" t="s">
        <v>1056</v>
      </c>
      <c r="B20" s="62"/>
      <c r="C20" s="71" t="n">
        <f aca="false">C15-C16</f>
        <v>8.79569732846416</v>
      </c>
      <c r="D20" s="71" t="n">
        <f aca="false">D15-D16</f>
        <v>7.84433983692555</v>
      </c>
      <c r="E20" s="113" t="n">
        <f aca="false">E15-E16</f>
        <v>9.26727925099196</v>
      </c>
      <c r="F20" s="113" t="n">
        <f aca="false">F15-F16</f>
        <v>8.40692198950431</v>
      </c>
      <c r="G20" s="113" t="n">
        <f aca="false">G15-G16</f>
        <v>9.01170632314024</v>
      </c>
      <c r="H20" s="113" t="n">
        <f aca="false">H15-H16</f>
        <v>8.371098733835</v>
      </c>
      <c r="I20" s="113" t="n">
        <f aca="false">I15-I16</f>
        <v>8.81964007571056</v>
      </c>
      <c r="J20" s="113" t="n">
        <f aca="false">J15-J16</f>
        <v>9.43929831152874</v>
      </c>
      <c r="K20" s="113" t="n">
        <f aca="false">K15-K16</f>
        <v>8.46640606971209</v>
      </c>
      <c r="L20" s="113" t="n">
        <f aca="false">L15-L16</f>
        <v>8.33276668998806</v>
      </c>
      <c r="M20" s="113" t="n">
        <f aca="false">M15-M16</f>
        <v>10.8006682353331</v>
      </c>
      <c r="N20" s="113" t="n">
        <f aca="false">N15-N16</f>
        <v>8.28771331439566</v>
      </c>
      <c r="O20" s="113" t="n">
        <f aca="false">O15-O16</f>
        <v>8.29596023150716</v>
      </c>
      <c r="P20" s="113" t="n">
        <f aca="false">P15-P16</f>
        <v>8.18858368382102</v>
      </c>
      <c r="Q20" s="113" t="n">
        <f aca="false">Q15-Q16</f>
        <v>7.76685047661559</v>
      </c>
      <c r="R20" s="113" t="n">
        <f aca="false">R15-R16</f>
        <v>7.35261466644657</v>
      </c>
      <c r="S20" s="113" t="n">
        <f aca="false">S15-S16</f>
        <v>8.9802845786337</v>
      </c>
      <c r="T20" s="113" t="n">
        <f aca="false">T15-T16</f>
        <v>7.38227718259861</v>
      </c>
      <c r="U20" s="113" t="n">
        <f aca="false">U15-U16</f>
        <v>7.41941851632122</v>
      </c>
      <c r="V20" s="113" t="n">
        <f aca="false">V15-V16</f>
        <v>8.32260678330371</v>
      </c>
      <c r="W20" s="113" t="n">
        <f aca="false">W15-W16</f>
        <v>7.39494968352787</v>
      </c>
      <c r="X20" s="113" t="n">
        <f aca="false">X15-X16</f>
        <v>7.42192008882403</v>
      </c>
      <c r="Y20" s="113" t="n">
        <f aca="false">Y15-Y16</f>
        <v>8.25332043132863</v>
      </c>
      <c r="Z20" s="113" t="n">
        <f aca="false">Z15-Z16</f>
        <v>8.3129548005122</v>
      </c>
      <c r="AA20" s="113" t="n">
        <f aca="false">AA15-AA16</f>
        <v>8.07092577253276</v>
      </c>
      <c r="AB20" s="113" t="n">
        <f aca="false">AB15-AB16</f>
        <v>7.43223991476938</v>
      </c>
    </row>
    <row r="21" customFormat="false" ht="15" hidden="false" customHeight="false" outlineLevel="0" collapsed="false">
      <c r="A21" s="22" t="s">
        <v>1057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row>
    <row r="22" customFormat="false" ht="15" hidden="false" customHeight="false" outlineLevel="0" collapsed="false">
      <c r="A22" s="28" t="s">
        <v>1045</v>
      </c>
      <c r="B22" s="62" t="s">
        <v>44</v>
      </c>
      <c r="C22" s="67" t="n">
        <f aca="false">SUM(E22:P22)</f>
        <v>258582.555284401</v>
      </c>
      <c r="D22" s="67" t="n">
        <f aca="false">SUM(Q22:AB22)</f>
        <v>385030.264924953</v>
      </c>
      <c r="E22" s="68" t="n">
        <f aca="false">Revenue!E26</f>
        <v>18638.5</v>
      </c>
      <c r="F22" s="68" t="n">
        <f aca="false">Revenue!F26</f>
        <v>19218.2</v>
      </c>
      <c r="G22" s="68" t="n">
        <f aca="false">Revenue!G26</f>
        <v>19002.4</v>
      </c>
      <c r="H22" s="68" t="n">
        <f aca="false">Revenue!H26</f>
        <v>19482.4</v>
      </c>
      <c r="I22" s="68" t="n">
        <f aca="false">Revenue!I26</f>
        <v>19846.2</v>
      </c>
      <c r="J22" s="68" t="n">
        <f aca="false">Revenue!J26</f>
        <v>20443.9</v>
      </c>
      <c r="K22" s="68" t="n">
        <f aca="false">Revenue!K26</f>
        <v>22801</v>
      </c>
      <c r="L22" s="68" t="n">
        <f aca="false">Revenue!L26</f>
        <v>22810.4</v>
      </c>
      <c r="M22" s="68" t="n">
        <f aca="false">Revenue!M26</f>
        <v>23070.8921988993</v>
      </c>
      <c r="N22" s="68" t="n">
        <f aca="false">Revenue!N26</f>
        <v>23583.7084136708</v>
      </c>
      <c r="O22" s="68" t="n">
        <f aca="false">Revenue!O26</f>
        <v>24543.8849466327</v>
      </c>
      <c r="P22" s="68" t="n">
        <f aca="false">Revenue!P26</f>
        <v>25141.0697251977</v>
      </c>
      <c r="Q22" s="68" t="n">
        <f aca="false">Revenue!Q26</f>
        <v>28597.352604241</v>
      </c>
      <c r="R22" s="68" t="n">
        <f aca="false">Revenue!R26</f>
        <v>29423.0063392286</v>
      </c>
      <c r="S22" s="68" t="n">
        <f aca="false">Revenue!S26</f>
        <v>30555.0305423752</v>
      </c>
      <c r="T22" s="68" t="n">
        <f aca="false">Revenue!T26</f>
        <v>30754.5820749717</v>
      </c>
      <c r="U22" s="68" t="n">
        <f aca="false">Revenue!U26</f>
        <v>31664.9477653915</v>
      </c>
      <c r="V22" s="68" t="n">
        <f aca="false">Revenue!V26</f>
        <v>32031.4761894248</v>
      </c>
      <c r="W22" s="68" t="n">
        <f aca="false">Revenue!W26</f>
        <v>32294.0494377702</v>
      </c>
      <c r="X22" s="68" t="n">
        <f aca="false">Revenue!X26</f>
        <v>32645.4023082594</v>
      </c>
      <c r="Y22" s="68" t="n">
        <f aca="false">Revenue!Y26</f>
        <v>33248.0324205514</v>
      </c>
      <c r="Z22" s="68" t="n">
        <f aca="false">Revenue!Z26</f>
        <v>33977.607345138</v>
      </c>
      <c r="AA22" s="68" t="n">
        <f aca="false">Revenue!AA26</f>
        <v>34589.513714375</v>
      </c>
      <c r="AB22" s="68" t="n">
        <f aca="false">Revenue!AB26</f>
        <v>35249.2641832265</v>
      </c>
    </row>
    <row r="23" customFormat="false" ht="15" hidden="false" customHeight="false" outlineLevel="0" collapsed="false">
      <c r="A23" s="28" t="s">
        <v>44</v>
      </c>
      <c r="B23" s="62" t="s">
        <v>44</v>
      </c>
      <c r="C23" s="64" t="n">
        <f aca="false">SUM(E23:P23)</f>
        <v>1930242.8193299</v>
      </c>
      <c r="D23" s="64" t="n">
        <f aca="false">SUM(Q23:AB23)</f>
        <v>2554728.79434378</v>
      </c>
      <c r="E23" s="65" t="n">
        <f aca="false">Revenue!E21</f>
        <v>143959.925272727</v>
      </c>
      <c r="F23" s="65" t="n">
        <f aca="false">Revenue!F21</f>
        <v>137752.077590909</v>
      </c>
      <c r="G23" s="65" t="n">
        <f aca="false">Revenue!G21</f>
        <v>158804.705590909</v>
      </c>
      <c r="H23" s="65" t="n">
        <f aca="false">Revenue!H21</f>
        <v>139936.677681818</v>
      </c>
      <c r="I23" s="65" t="n">
        <f aca="false">Revenue!I21</f>
        <v>147426.972727273</v>
      </c>
      <c r="J23" s="65" t="n">
        <f aca="false">Revenue!J21</f>
        <v>165246.954272727</v>
      </c>
      <c r="K23" s="65" t="n">
        <f aca="false">Revenue!K21</f>
        <v>167996.529772727</v>
      </c>
      <c r="L23" s="65" t="n">
        <f aca="false">Revenue!L21</f>
        <v>177567.787818182</v>
      </c>
      <c r="M23" s="65" t="n">
        <f aca="false">Revenue!M21</f>
        <v>178375.012363957</v>
      </c>
      <c r="N23" s="65" t="n">
        <f aca="false">Revenue!N21</f>
        <v>165712.860687767</v>
      </c>
      <c r="O23" s="65" t="n">
        <f aca="false">Revenue!O21</f>
        <v>172420.544214754</v>
      </c>
      <c r="P23" s="65" t="n">
        <f aca="false">Revenue!P21</f>
        <v>175042.771336144</v>
      </c>
      <c r="Q23" s="65" t="n">
        <f aca="false">Revenue!Q21</f>
        <v>187878.098288823</v>
      </c>
      <c r="R23" s="65" t="n">
        <f aca="false">Revenue!R21</f>
        <v>185589.950514154</v>
      </c>
      <c r="S23" s="65" t="n">
        <f aca="false">Revenue!S21</f>
        <v>215006.976650467</v>
      </c>
      <c r="T23" s="65" t="n">
        <f aca="false">Revenue!T21</f>
        <v>194039.881888742</v>
      </c>
      <c r="U23" s="65" t="n">
        <f aca="false">Revenue!U21</f>
        <v>200489.802685947</v>
      </c>
      <c r="V23" s="65" t="n">
        <f aca="false">Revenue!V21</f>
        <v>258800.835321234</v>
      </c>
      <c r="W23" s="65" t="n">
        <f aca="false">Revenue!W21</f>
        <v>203754.943267394</v>
      </c>
      <c r="X23" s="65" t="n">
        <f aca="false">Revenue!X21</f>
        <v>211829.504166986</v>
      </c>
      <c r="Y23" s="65" t="n">
        <f aca="false">Revenue!Y21</f>
        <v>217692.622943038</v>
      </c>
      <c r="Z23" s="65" t="n">
        <f aca="false">Revenue!Z21</f>
        <v>234463.528251118</v>
      </c>
      <c r="AA23" s="65" t="n">
        <f aca="false">Revenue!AA21</f>
        <v>222605.92452837</v>
      </c>
      <c r="AB23" s="65" t="n">
        <f aca="false">Revenue!AB21</f>
        <v>222576.725837508</v>
      </c>
    </row>
    <row r="24" customFormat="false" ht="15" hidden="false" customHeight="false" outlineLevel="0" collapsed="false">
      <c r="A24" s="28" t="s">
        <v>1046</v>
      </c>
      <c r="B24" s="62" t="s">
        <v>1047</v>
      </c>
      <c r="C24" s="64" t="n">
        <f aca="false">SUM(E24:P24)</f>
        <v>109527.999355176</v>
      </c>
      <c r="D24" s="64" t="n">
        <f aca="false">SUM(Q24:AB24)</f>
        <v>144942.651664816</v>
      </c>
      <c r="E24" s="65" t="n">
        <f aca="false">IF(Usage_Compute!E18=0,0,(Usage_Compute!E41+Usage_Compute!E42)*Usage_Compute!E16/Usage_Compute!E18)</f>
        <v>8514.67767872343</v>
      </c>
      <c r="F24" s="65" t="n">
        <f aca="false">IF(Usage_Compute!F18=0,0,(Usage_Compute!F41+Usage_Compute!F42)*Usage_Compute!F16/Usage_Compute!F18)</f>
        <v>8213.86123899721</v>
      </c>
      <c r="G24" s="65" t="n">
        <f aca="false">IF(Usage_Compute!G18=0,0,(Usage_Compute!G41+Usage_Compute!G42)*Usage_Compute!G16/Usage_Compute!G18)</f>
        <v>8619.14407889295</v>
      </c>
      <c r="H24" s="65" t="n">
        <f aca="false">IF(Usage_Compute!H18=0,0,(Usage_Compute!H41+Usage_Compute!H42)*Usage_Compute!H16/Usage_Compute!H18)</f>
        <v>8319.92341385701</v>
      </c>
      <c r="I24" s="65" t="n">
        <f aca="false">IF(Usage_Compute!I18=0,0,(Usage_Compute!I41+Usage_Compute!I42)*Usage_Compute!I16/Usage_Compute!I18)</f>
        <v>8520.7701535587</v>
      </c>
      <c r="J24" s="65" t="n">
        <f aca="false">IF(Usage_Compute!J18=0,0,(Usage_Compute!J41+Usage_Compute!J42)*Usage_Compute!J16/Usage_Compute!J18)</f>
        <v>8795.18799155479</v>
      </c>
      <c r="K24" s="65" t="n">
        <f aca="false">IF(Usage_Compute!K18=0,0,(Usage_Compute!K41+Usage_Compute!K42)*Usage_Compute!K16/Usage_Compute!K18)</f>
        <v>9654.19438954174</v>
      </c>
      <c r="L24" s="65" t="n">
        <f aca="false">IF(Usage_Compute!L18=0,0,(Usage_Compute!L41+Usage_Compute!L42)*Usage_Compute!L16/Usage_Compute!L18)</f>
        <v>9511.1404992465</v>
      </c>
      <c r="M24" s="65" t="n">
        <f aca="false">IF(Usage_Compute!M18=0,0,(Usage_Compute!M41+Usage_Compute!M42)*Usage_Compute!M16/Usage_Compute!M18)</f>
        <v>9655.80957518075</v>
      </c>
      <c r="N24" s="65" t="n">
        <f aca="false">IF(Usage_Compute!N18=0,0,(Usage_Compute!N41+Usage_Compute!N42)*Usage_Compute!N16/Usage_Compute!N18)</f>
        <v>9641.913143432</v>
      </c>
      <c r="O24" s="65" t="n">
        <f aca="false">IF(Usage_Compute!O18=0,0,(Usage_Compute!O41+Usage_Compute!O42)*Usage_Compute!O16/Usage_Compute!O18)</f>
        <v>9917.36328767855</v>
      </c>
      <c r="P24" s="65" t="n">
        <f aca="false">IF(Usage_Compute!P18=0,0,(Usage_Compute!P41+Usage_Compute!P42)*Usage_Compute!P16/Usage_Compute!P18)</f>
        <v>10164.0139045125</v>
      </c>
      <c r="Q24" s="65" t="n">
        <f aca="false">IF(Usage_Compute!Q18=0,0,(Usage_Compute!Q41+Usage_Compute!Q42)*Usage_Compute!Q16/Usage_Compute!Q18)</f>
        <v>11444.5065856169</v>
      </c>
      <c r="R24" s="65" t="n">
        <f aca="false">IF(Usage_Compute!R18=0,0,(Usage_Compute!R41+Usage_Compute!R42)*Usage_Compute!R16/Usage_Compute!R18)</f>
        <v>11528.7804286131</v>
      </c>
      <c r="S24" s="65" t="n">
        <f aca="false">IF(Usage_Compute!S18=0,0,(Usage_Compute!S41+Usage_Compute!S42)*Usage_Compute!S16/Usage_Compute!S18)</f>
        <v>12104.9433371361</v>
      </c>
      <c r="T24" s="65" t="n">
        <f aca="false">IF(Usage_Compute!T18=0,0,(Usage_Compute!T41+Usage_Compute!T42)*Usage_Compute!T16/Usage_Compute!T18)</f>
        <v>11797.6368631741</v>
      </c>
      <c r="U24" s="65" t="n">
        <f aca="false">IF(Usage_Compute!U18=0,0,(Usage_Compute!U41+Usage_Compute!U42)*Usage_Compute!U16/Usage_Compute!U18)</f>
        <v>12151.8588588995</v>
      </c>
      <c r="V24" s="65" t="n">
        <f aca="false">IF(Usage_Compute!V18=0,0,(Usage_Compute!V41+Usage_Compute!V42)*Usage_Compute!V16/Usage_Compute!V18)</f>
        <v>12208.4177511595</v>
      </c>
      <c r="W24" s="65" t="n">
        <f aca="false">IF(Usage_Compute!W18=0,0,(Usage_Compute!W41+Usage_Compute!W42)*Usage_Compute!W16/Usage_Compute!W18)</f>
        <v>12040.7987732999</v>
      </c>
      <c r="X24" s="65" t="n">
        <f aca="false">IF(Usage_Compute!X18=0,0,(Usage_Compute!X41+Usage_Compute!X42)*Usage_Compute!X16/Usage_Compute!X18)</f>
        <v>12149.9101007988</v>
      </c>
      <c r="Y24" s="65" t="n">
        <f aca="false">IF(Usage_Compute!Y18=0,0,(Usage_Compute!Y41+Usage_Compute!Y42)*Usage_Compute!Y16/Usage_Compute!Y18)</f>
        <v>12269.3531273422</v>
      </c>
      <c r="Z24" s="65" t="n">
        <f aca="false">IF(Usage_Compute!Z18=0,0,(Usage_Compute!Z41+Usage_Compute!Z42)*Usage_Compute!Z16/Usage_Compute!Z18)</f>
        <v>12246.0576805236</v>
      </c>
      <c r="AA24" s="65" t="n">
        <f aca="false">IF(Usage_Compute!AA18=0,0,(Usage_Compute!AA41+Usage_Compute!AA42)*Usage_Compute!AA16/Usage_Compute!AA18)</f>
        <v>12368.1092460762</v>
      </c>
      <c r="AB24" s="65" t="n">
        <f aca="false">IF(Usage_Compute!AB18=0,0,(Usage_Compute!AB41+Usage_Compute!AB42)*Usage_Compute!AB16/Usage_Compute!AB18)</f>
        <v>12632.278912176</v>
      </c>
    </row>
    <row r="25" customFormat="false" ht="15" hidden="false" customHeight="false" outlineLevel="0" collapsed="false">
      <c r="A25" s="28" t="s">
        <v>1058</v>
      </c>
      <c r="B25" s="62" t="s">
        <v>1059</v>
      </c>
      <c r="C25" s="64" t="n">
        <f aca="false">SUM(E25:P25)</f>
        <v>498528.715812696</v>
      </c>
      <c r="D25" s="64" t="n">
        <f aca="false">SUM(Q25:AB25)</f>
        <v>604601.30582301</v>
      </c>
      <c r="E25" s="65" t="n">
        <f aca="false">IF(Usage_Compute!E28=0,0,Usage_Compute!E44*Usage_Compute!E10*Assumptions!$C$148/(Usage_Compute!E10*Assumptions!$C$148+Usage_Compute!E11*Assumptions!$C$149))</f>
        <v>38053.5342608148</v>
      </c>
      <c r="F25" s="65" t="n">
        <f aca="false">IF(Usage_Compute!F28=0,0,Usage_Compute!F44*Usage_Compute!F10*Assumptions!$C$148/(Usage_Compute!F10*Assumptions!$C$148+Usage_Compute!F11*Assumptions!$C$149))</f>
        <v>38994.3882166128</v>
      </c>
      <c r="G25" s="65" t="n">
        <f aca="false">IF(Usage_Compute!G28=0,0,Usage_Compute!G44*Usage_Compute!G10*Assumptions!$C$148/(Usage_Compute!G10*Assumptions!$C$148+Usage_Compute!G11*Assumptions!$C$149))</f>
        <v>40065.5985709767</v>
      </c>
      <c r="H25" s="65" t="n">
        <f aca="false">IF(Usage_Compute!H28=0,0,Usage_Compute!H44*Usage_Compute!H10*Assumptions!$C$148/(Usage_Compute!H10*Assumptions!$C$148+Usage_Compute!H11*Assumptions!$C$149))</f>
        <v>38926.0001471076</v>
      </c>
      <c r="I25" s="65" t="n">
        <f aca="false">IF(Usage_Compute!I28=0,0,Usage_Compute!I44*Usage_Compute!I10*Assumptions!$C$148/(Usage_Compute!I10*Assumptions!$C$148+Usage_Compute!I11*Assumptions!$C$149))</f>
        <v>42424.6964162622</v>
      </c>
      <c r="J25" s="65" t="n">
        <f aca="false">IF(Usage_Compute!J28=0,0,Usage_Compute!J44*Usage_Compute!J10*Assumptions!$C$148/(Usage_Compute!J10*Assumptions!$C$148+Usage_Compute!J11*Assumptions!$C$149))</f>
        <v>42014.4731700282</v>
      </c>
      <c r="K25" s="65" t="n">
        <f aca="false">IF(Usage_Compute!K28=0,0,Usage_Compute!K44*Usage_Compute!K10*Assumptions!$C$148/(Usage_Compute!K10*Assumptions!$C$148+Usage_Compute!K11*Assumptions!$C$149))</f>
        <v>47423.8187307066</v>
      </c>
      <c r="L25" s="65" t="n">
        <f aca="false">IF(Usage_Compute!L28=0,0,Usage_Compute!L44*Usage_Compute!L10*Assumptions!$C$148/(Usage_Compute!L10*Assumptions!$C$148+Usage_Compute!L11*Assumptions!$C$149))</f>
        <v>47271.2949931468</v>
      </c>
      <c r="M25" s="65" t="n">
        <f aca="false">IF(Usage_Compute!M28=0,0,Usage_Compute!M44*Usage_Compute!M10*Assumptions!$C$148/(Usage_Compute!M10*Assumptions!$C$148+Usage_Compute!M11*Assumptions!$C$149))</f>
        <v>48303.3597464524</v>
      </c>
      <c r="N25" s="65" t="n">
        <f aca="false">IF(Usage_Compute!N28=0,0,Usage_Compute!N44*Usage_Compute!N10*Assumptions!$C$148/(Usage_Compute!N10*Assumptions!$C$148+Usage_Compute!N11*Assumptions!$C$149))</f>
        <v>37032.7795032778</v>
      </c>
      <c r="O25" s="65" t="n">
        <f aca="false">IF(Usage_Compute!O28=0,0,Usage_Compute!O44*Usage_Compute!O10*Assumptions!$C$148/(Usage_Compute!O10*Assumptions!$C$148+Usage_Compute!O11*Assumptions!$C$149))</f>
        <v>38540.5154880388</v>
      </c>
      <c r="P25" s="65" t="n">
        <f aca="false">IF(Usage_Compute!P28=0,0,Usage_Compute!P44*Usage_Compute!P10*Assumptions!$C$148/(Usage_Compute!P10*Assumptions!$C$148+Usage_Compute!P11*Assumptions!$C$149))</f>
        <v>39478.2565692714</v>
      </c>
      <c r="Q25" s="65" t="n">
        <f aca="false">IF(Usage_Compute!Q28=0,0,Usage_Compute!Q44*Usage_Compute!Q10*Assumptions!$C$148/(Usage_Compute!Q10*Assumptions!$C$148+Usage_Compute!Q11*Assumptions!$C$149))</f>
        <v>44905.5523751495</v>
      </c>
      <c r="R25" s="65" t="n">
        <f aca="false">IF(Usage_Compute!R28=0,0,Usage_Compute!R44*Usage_Compute!R10*Assumptions!$C$148/(Usage_Compute!R10*Assumptions!$C$148+Usage_Compute!R11*Assumptions!$C$149))</f>
        <v>46202.0513047295</v>
      </c>
      <c r="S25" s="65" t="n">
        <f aca="false">IF(Usage_Compute!S28=0,0,Usage_Compute!S44*Usage_Compute!S10*Assumptions!$C$148/(Usage_Compute!S10*Assumptions!$C$148+Usage_Compute!S11*Assumptions!$C$149))</f>
        <v>47979.6344554439</v>
      </c>
      <c r="T25" s="65" t="n">
        <f aca="false">IF(Usage_Compute!T28=0,0,Usage_Compute!T44*Usage_Compute!T10*Assumptions!$C$148/(Usage_Compute!T10*Assumptions!$C$148+Usage_Compute!T11*Assumptions!$C$149))</f>
        <v>48292.9841533185</v>
      </c>
      <c r="U25" s="65" t="n">
        <f aca="false">IF(Usage_Compute!U28=0,0,Usage_Compute!U44*Usage_Compute!U10*Assumptions!$C$148/(Usage_Compute!U10*Assumptions!$C$148+Usage_Compute!U11*Assumptions!$C$149))</f>
        <v>49722.5036881311</v>
      </c>
      <c r="V25" s="65" t="n">
        <f aca="false">IF(Usage_Compute!V28=0,0,Usage_Compute!V44*Usage_Compute!V10*Assumptions!$C$148/(Usage_Compute!V10*Assumptions!$C$148+Usage_Compute!V11*Assumptions!$C$149))</f>
        <v>50298.0521163436</v>
      </c>
      <c r="W25" s="65" t="n">
        <f aca="false">IF(Usage_Compute!W28=0,0,Usage_Compute!W44*Usage_Compute!W10*Assumptions!$C$148/(Usage_Compute!W10*Assumptions!$C$148+Usage_Compute!W11*Assumptions!$C$149))</f>
        <v>50710.3628962631</v>
      </c>
      <c r="X25" s="65" t="n">
        <f aca="false">IF(Usage_Compute!X28=0,0,Usage_Compute!X44*Usage_Compute!X10*Assumptions!$C$148/(Usage_Compute!X10*Assumptions!$C$148+Usage_Compute!X11*Assumptions!$C$149))</f>
        <v>51262.0816146445</v>
      </c>
      <c r="Y25" s="65" t="n">
        <f aca="false">IF(Usage_Compute!Y28=0,0,Usage_Compute!Y44*Usage_Compute!Y10*Assumptions!$C$148/(Usage_Compute!Y10*Assumptions!$C$148+Usage_Compute!Y11*Assumptions!$C$149))</f>
        <v>52208.3733376887</v>
      </c>
      <c r="Z25" s="65" t="n">
        <f aca="false">IF(Usage_Compute!Z28=0,0,Usage_Compute!Z44*Usage_Compute!Z10*Assumptions!$C$148/(Usage_Compute!Z10*Assumptions!$C$148+Usage_Compute!Z11*Assumptions!$C$149))</f>
        <v>53354.0026356524</v>
      </c>
      <c r="AA25" s="65" t="n">
        <f aca="false">IF(Usage_Compute!AA28=0,0,Usage_Compute!AA44*Usage_Compute!AA10*Assumptions!$C$148/(Usage_Compute!AA10*Assumptions!$C$148+Usage_Compute!AA11*Assumptions!$C$149))</f>
        <v>54314.8605826355</v>
      </c>
      <c r="AB25" s="65" t="n">
        <f aca="false">IF(Usage_Compute!AB28=0,0,Usage_Compute!AB44*Usage_Compute!AB10*Assumptions!$C$148/(Usage_Compute!AB10*Assumptions!$C$148+Usage_Compute!AB11*Assumptions!$C$149))</f>
        <v>55350.8466630094</v>
      </c>
    </row>
    <row r="26" customFormat="false" ht="15" hidden="false" customHeight="false" outlineLevel="0" collapsed="false">
      <c r="A26" s="28" t="s">
        <v>412</v>
      </c>
      <c r="B26" s="62" t="s">
        <v>1049</v>
      </c>
      <c r="C26" s="64" t="n">
        <f aca="false">SUM(E26:P26)</f>
        <v>111263.248237847</v>
      </c>
      <c r="D26" s="64" t="n">
        <f aca="false">SUM(Q26:AB26)</f>
        <v>139386.672394346</v>
      </c>
      <c r="E26" s="65" t="n">
        <f aca="false">Usage_Compute!E43*(Assumptions!$C$154*Usage_Compute!E10+Assumptions!$C$152*IF(Revenue!E15=0,0,Revenue!E21/Revenue!E15))/(Assumptions!$C$153*Usage_Compute!E9+Assumptions!$C$154*Usage_Compute!E10+Assumptions!$C$155*Usage_Compute!E11+Assumptions!$C$152)</f>
        <v>8813.37513572223</v>
      </c>
      <c r="F26" s="65" t="n">
        <f aca="false">Usage_Compute!F43*(Assumptions!$C$154*Usage_Compute!F10+Assumptions!$C$152*IF(Revenue!F15=0,0,Revenue!F21/Revenue!F15))/(Assumptions!$C$153*Usage_Compute!F9+Assumptions!$C$154*Usage_Compute!F10+Assumptions!$C$155*Usage_Compute!F11+Assumptions!$C$152)</f>
        <v>8550.635961829</v>
      </c>
      <c r="G26" s="65" t="n">
        <f aca="false">Usage_Compute!G43*(Assumptions!$C$154*Usage_Compute!G10+Assumptions!$C$152*IF(Revenue!G15=0,0,Revenue!G21/Revenue!G15))/(Assumptions!$C$153*Usage_Compute!G9+Assumptions!$C$154*Usage_Compute!G10+Assumptions!$C$155*Usage_Compute!G11+Assumptions!$C$152)</f>
        <v>8664.73077189461</v>
      </c>
      <c r="H26" s="65" t="n">
        <f aca="false">Usage_Compute!H43*(Assumptions!$C$154*Usage_Compute!H10+Assumptions!$C$152*IF(Revenue!H15=0,0,Revenue!H21/Revenue!H15))/(Assumptions!$C$153*Usage_Compute!H9+Assumptions!$C$154*Usage_Compute!H10+Assumptions!$C$155*Usage_Compute!H11+Assumptions!$C$152)</f>
        <v>8274.98199968977</v>
      </c>
      <c r="I26" s="65" t="n">
        <f aca="false">Usage_Compute!I43*(Assumptions!$C$154*Usage_Compute!I10+Assumptions!$C$152*IF(Revenue!I15=0,0,Revenue!I21/Revenue!I15))/(Assumptions!$C$153*Usage_Compute!I9+Assumptions!$C$154*Usage_Compute!I10+Assumptions!$C$155*Usage_Compute!I11+Assumptions!$C$152)</f>
        <v>8229.25813310314</v>
      </c>
      <c r="J26" s="65" t="n">
        <f aca="false">Usage_Compute!J43*(Assumptions!$C$154*Usage_Compute!J10+Assumptions!$C$152*IF(Revenue!J15=0,0,Revenue!J21/Revenue!J15))/(Assumptions!$C$153*Usage_Compute!J9+Assumptions!$C$154*Usage_Compute!J10+Assumptions!$C$155*Usage_Compute!J11+Assumptions!$C$152)</f>
        <v>9309.16261490979</v>
      </c>
      <c r="K26" s="65" t="n">
        <f aca="false">Usage_Compute!K43*(Assumptions!$C$154*Usage_Compute!K10+Assumptions!$C$152*IF(Revenue!K15=0,0,Revenue!K21/Revenue!K15))/(Assumptions!$C$153*Usage_Compute!K9+Assumptions!$C$154*Usage_Compute!K10+Assumptions!$C$155*Usage_Compute!K11+Assumptions!$C$152)</f>
        <v>10105.4337476006</v>
      </c>
      <c r="L26" s="65" t="n">
        <f aca="false">Usage_Compute!L43*(Assumptions!$C$154*Usage_Compute!L10+Assumptions!$C$152*IF(Revenue!L15=0,0,Revenue!L21/Revenue!L15))/(Assumptions!$C$153*Usage_Compute!L9+Assumptions!$C$154*Usage_Compute!L10+Assumptions!$C$155*Usage_Compute!L11+Assumptions!$C$152)</f>
        <v>10234.5812738392</v>
      </c>
      <c r="M26" s="65" t="n">
        <f aca="false">Usage_Compute!M43*(Assumptions!$C$154*Usage_Compute!M10+Assumptions!$C$152*IF(Revenue!M15=0,0,Revenue!M21/Revenue!M15))/(Assumptions!$C$153*Usage_Compute!M9+Assumptions!$C$154*Usage_Compute!M10+Assumptions!$C$155*Usage_Compute!M11+Assumptions!$C$152)</f>
        <v>9264.07930364037</v>
      </c>
      <c r="N26" s="65" t="n">
        <f aca="false">Usage_Compute!N43*(Assumptions!$C$154*Usage_Compute!N10+Assumptions!$C$152*IF(Revenue!N15=0,0,Revenue!N21/Revenue!N15))/(Assumptions!$C$153*Usage_Compute!N9+Assumptions!$C$154*Usage_Compute!N10+Assumptions!$C$155*Usage_Compute!N11+Assumptions!$C$152)</f>
        <v>9761.20226043738</v>
      </c>
      <c r="O26" s="65" t="n">
        <f aca="false">Usage_Compute!O43*(Assumptions!$C$154*Usage_Compute!O10+Assumptions!$C$152*IF(Revenue!O15=0,0,Revenue!O21/Revenue!O15))/(Assumptions!$C$153*Usage_Compute!O9+Assumptions!$C$154*Usage_Compute!O10+Assumptions!$C$155*Usage_Compute!O11+Assumptions!$C$152)</f>
        <v>9975.68568058628</v>
      </c>
      <c r="P26" s="65" t="n">
        <f aca="false">Usage_Compute!P43*(Assumptions!$C$154*Usage_Compute!P10+Assumptions!$C$152*IF(Revenue!P15=0,0,Revenue!P21/Revenue!P15))/(Assumptions!$C$153*Usage_Compute!P9+Assumptions!$C$154*Usage_Compute!P10+Assumptions!$C$155*Usage_Compute!P11+Assumptions!$C$152)</f>
        <v>10080.1213545945</v>
      </c>
      <c r="Q26" s="65" t="n">
        <f aca="false">Usage_Compute!Q43*(Assumptions!$C$154*Usage_Compute!Q10+Assumptions!$C$152*IF(Revenue!Q15=0,0,Revenue!Q21/Revenue!Q15))/(Assumptions!$C$153*Usage_Compute!Q9+Assumptions!$C$154*Usage_Compute!Q10+Assumptions!$C$155*Usage_Compute!Q11+Assumptions!$C$152)</f>
        <v>10838.8306958022</v>
      </c>
      <c r="R26" s="65" t="n">
        <f aca="false">Usage_Compute!R43*(Assumptions!$C$154*Usage_Compute!R10+Assumptions!$C$152*IF(Revenue!R15=0,0,Revenue!R21/Revenue!R15))/(Assumptions!$C$153*Usage_Compute!R9+Assumptions!$C$154*Usage_Compute!R10+Assumptions!$C$155*Usage_Compute!R11+Assumptions!$C$152)</f>
        <v>11020.0030474343</v>
      </c>
      <c r="S26" s="65" t="n">
        <f aca="false">Usage_Compute!S43*(Assumptions!$C$154*Usage_Compute!S10+Assumptions!$C$152*IF(Revenue!S15=0,0,Revenue!S21/Revenue!S15))/(Assumptions!$C$153*Usage_Compute!S9+Assumptions!$C$154*Usage_Compute!S10+Assumptions!$C$155*Usage_Compute!S11+Assumptions!$C$152)</f>
        <v>11120.3712725722</v>
      </c>
      <c r="T26" s="65" t="n">
        <f aca="false">Usage_Compute!T43*(Assumptions!$C$154*Usage_Compute!T10+Assumptions!$C$152*IF(Revenue!T15=0,0,Revenue!T21/Revenue!T15))/(Assumptions!$C$153*Usage_Compute!T9+Assumptions!$C$154*Usage_Compute!T10+Assumptions!$C$155*Usage_Compute!T11+Assumptions!$C$152)</f>
        <v>11329.8272524127</v>
      </c>
      <c r="U26" s="65" t="n">
        <f aca="false">Usage_Compute!U43*(Assumptions!$C$154*Usage_Compute!U10+Assumptions!$C$152*IF(Revenue!U15=0,0,Revenue!U21/Revenue!U15))/(Assumptions!$C$153*Usage_Compute!U9+Assumptions!$C$154*Usage_Compute!U10+Assumptions!$C$155*Usage_Compute!U11+Assumptions!$C$152)</f>
        <v>11524.5545526257</v>
      </c>
      <c r="V26" s="65" t="n">
        <f aca="false">Usage_Compute!V43*(Assumptions!$C$154*Usage_Compute!V10+Assumptions!$C$152*IF(Revenue!V15=0,0,Revenue!V21/Revenue!V15))/(Assumptions!$C$153*Usage_Compute!V9+Assumptions!$C$154*Usage_Compute!V10+Assumptions!$C$155*Usage_Compute!V11+Assumptions!$C$152)</f>
        <v>12040.3070423732</v>
      </c>
      <c r="W26" s="65" t="n">
        <f aca="false">Usage_Compute!W43*(Assumptions!$C$154*Usage_Compute!W10+Assumptions!$C$152*IF(Revenue!W15=0,0,Revenue!W21/Revenue!W15))/(Assumptions!$C$153*Usage_Compute!W9+Assumptions!$C$154*Usage_Compute!W10+Assumptions!$C$155*Usage_Compute!W11+Assumptions!$C$152)</f>
        <v>11656.3084638099</v>
      </c>
      <c r="X26" s="65" t="n">
        <f aca="false">Usage_Compute!X43*(Assumptions!$C$154*Usage_Compute!X10+Assumptions!$C$152*IF(Revenue!X15=0,0,Revenue!X21/Revenue!X15))/(Assumptions!$C$153*Usage_Compute!X9+Assumptions!$C$154*Usage_Compute!X10+Assumptions!$C$155*Usage_Compute!X11+Assumptions!$C$152)</f>
        <v>11801.0359686422</v>
      </c>
      <c r="Y26" s="65" t="n">
        <f aca="false">Usage_Compute!Y43*(Assumptions!$C$154*Usage_Compute!Y10+Assumptions!$C$152*IF(Revenue!Y15=0,0,Revenue!Y21/Revenue!Y15))/(Assumptions!$C$153*Usage_Compute!Y9+Assumptions!$C$154*Usage_Compute!Y10+Assumptions!$C$155*Usage_Compute!Y11+Assumptions!$C$152)</f>
        <v>11699.7348937769</v>
      </c>
      <c r="Z26" s="65" t="n">
        <f aca="false">Usage_Compute!Z43*(Assumptions!$C$154*Usage_Compute!Z10+Assumptions!$C$152*IF(Revenue!Z15=0,0,Revenue!Z21/Revenue!Z15))/(Assumptions!$C$153*Usage_Compute!Z9+Assumptions!$C$154*Usage_Compute!Z10+Assumptions!$C$155*Usage_Compute!Z11+Assumptions!$C$152)</f>
        <v>12035.329360318</v>
      </c>
      <c r="AA26" s="65" t="n">
        <f aca="false">Usage_Compute!AA43*(Assumptions!$C$154*Usage_Compute!AA10+Assumptions!$C$152*IF(Revenue!AA15=0,0,Revenue!AA21/Revenue!AA15))/(Assumptions!$C$153*Usage_Compute!AA9+Assumptions!$C$154*Usage_Compute!AA10+Assumptions!$C$155*Usage_Compute!AA11+Assumptions!$C$152)</f>
        <v>12007.3801852089</v>
      </c>
      <c r="AB26" s="65" t="n">
        <f aca="false">Usage_Compute!AB43*(Assumptions!$C$154*Usage_Compute!AB10+Assumptions!$C$152*IF(Revenue!AB15=0,0,Revenue!AB21/Revenue!AB15))/(Assumptions!$C$153*Usage_Compute!AB9+Assumptions!$C$154*Usage_Compute!AB10+Assumptions!$C$155*Usage_Compute!AB11+Assumptions!$C$152)</f>
        <v>12312.98965937</v>
      </c>
    </row>
    <row r="27" customFormat="false" ht="15" hidden="false" customHeight="false" outlineLevel="0" collapsed="false">
      <c r="A27" s="58" t="s">
        <v>1050</v>
      </c>
      <c r="B27" s="59"/>
      <c r="C27" s="60" t="n">
        <f aca="false">SUM(E27:P27)</f>
        <v>719319.963405719</v>
      </c>
      <c r="D27" s="60" t="n">
        <f aca="false">SUM(Q27:AB27)</f>
        <v>888930.629882172</v>
      </c>
      <c r="E27" s="60" t="n">
        <f aca="false">E24+E25+E26</f>
        <v>55381.5870752605</v>
      </c>
      <c r="F27" s="60" t="n">
        <f aca="false">F24+F25+F26</f>
        <v>55758.885417439</v>
      </c>
      <c r="G27" s="60" t="n">
        <f aca="false">G24+G25+G26</f>
        <v>57349.4734217642</v>
      </c>
      <c r="H27" s="60" t="n">
        <f aca="false">H24+H25+H26</f>
        <v>55520.9055606544</v>
      </c>
      <c r="I27" s="60" t="n">
        <f aca="false">I24+I25+I26</f>
        <v>59174.724702924</v>
      </c>
      <c r="J27" s="60" t="n">
        <f aca="false">J24+J25+J26</f>
        <v>60118.8237764927</v>
      </c>
      <c r="K27" s="60" t="n">
        <f aca="false">K24+K25+K26</f>
        <v>67183.446867849</v>
      </c>
      <c r="L27" s="60" t="n">
        <f aca="false">L24+L25+L26</f>
        <v>67017.0167662325</v>
      </c>
      <c r="M27" s="60" t="n">
        <f aca="false">M24+M25+M26</f>
        <v>67223.2486252735</v>
      </c>
      <c r="N27" s="60" t="n">
        <f aca="false">N24+N25+N26</f>
        <v>56435.8949071472</v>
      </c>
      <c r="O27" s="60" t="n">
        <f aca="false">O24+O25+O26</f>
        <v>58433.5644563037</v>
      </c>
      <c r="P27" s="60" t="n">
        <f aca="false">P24+P25+P26</f>
        <v>59722.3918283784</v>
      </c>
      <c r="Q27" s="60" t="n">
        <f aca="false">Q24+Q25+Q26</f>
        <v>67188.8896565687</v>
      </c>
      <c r="R27" s="60" t="n">
        <f aca="false">R24+R25+R26</f>
        <v>68750.8347807769</v>
      </c>
      <c r="S27" s="60" t="n">
        <f aca="false">S24+S25+S26</f>
        <v>71204.9490651522</v>
      </c>
      <c r="T27" s="60" t="n">
        <f aca="false">T24+T25+T26</f>
        <v>71420.4482689053</v>
      </c>
      <c r="U27" s="60" t="n">
        <f aca="false">U24+U25+U26</f>
        <v>73398.9170996563</v>
      </c>
      <c r="V27" s="60" t="n">
        <f aca="false">V24+V25+V26</f>
        <v>74546.7769098763</v>
      </c>
      <c r="W27" s="60" t="n">
        <f aca="false">W24+W25+W26</f>
        <v>74407.4701333728</v>
      </c>
      <c r="X27" s="60" t="n">
        <f aca="false">X24+X25+X26</f>
        <v>75213.0276840855</v>
      </c>
      <c r="Y27" s="60" t="n">
        <f aca="false">Y24+Y25+Y26</f>
        <v>76177.4613588078</v>
      </c>
      <c r="Z27" s="60" t="n">
        <f aca="false">Z24+Z25+Z26</f>
        <v>77635.3896764941</v>
      </c>
      <c r="AA27" s="60" t="n">
        <f aca="false">AA24+AA25+AA26</f>
        <v>78690.3500139206</v>
      </c>
      <c r="AB27" s="60" t="n">
        <f aca="false">AB24+AB25+AB26</f>
        <v>80296.1152345554</v>
      </c>
    </row>
    <row r="28" customFormat="false" ht="15" hidden="false" customHeight="false" outlineLevel="0" collapsed="false">
      <c r="A28" s="28" t="s">
        <v>1051</v>
      </c>
      <c r="B28" s="62"/>
      <c r="C28" s="71" t="n">
        <f aca="false">IF(C22=0,0,C23/C22)</f>
        <v>7.46470626066375</v>
      </c>
      <c r="D28" s="71" t="n">
        <f aca="false">IF(D22=0,0,D23/D22)</f>
        <v>6.63513761662794</v>
      </c>
      <c r="E28" s="113" t="n">
        <f aca="false">IF(E22=0,0,E23/E22)</f>
        <v>7.72379350659802</v>
      </c>
      <c r="F28" s="113" t="n">
        <f aca="false">IF(F22=0,0,F23/F22)</f>
        <v>7.16779290416944</v>
      </c>
      <c r="G28" s="113" t="n">
        <f aca="false">IF(G22=0,0,G23/G22)</f>
        <v>8.35708676750879</v>
      </c>
      <c r="H28" s="113" t="n">
        <f aca="false">IF(H22=0,0,H23/H22)</f>
        <v>7.18272274883065</v>
      </c>
      <c r="I28" s="113" t="n">
        <f aca="false">IF(I22=0,0,I23/I22)</f>
        <v>7.42847359833483</v>
      </c>
      <c r="J28" s="113" t="n">
        <f aca="false">IF(J22=0,0,J23/J22)</f>
        <v>8.08294671137734</v>
      </c>
      <c r="K28" s="113" t="n">
        <f aca="false">IF(K22=0,0,K23/K22)</f>
        <v>7.36794569416812</v>
      </c>
      <c r="L28" s="113" t="n">
        <f aca="false">IF(L22=0,0,L23/L22)</f>
        <v>7.78451004007741</v>
      </c>
      <c r="M28" s="113" t="n">
        <f aca="false">IF(M22=0,0,M23/M22)</f>
        <v>7.73160443151248</v>
      </c>
      <c r="N28" s="113" t="n">
        <f aca="false">IF(N22=0,0,N23/N22)</f>
        <v>7.0265819853721</v>
      </c>
      <c r="O28" s="113" t="n">
        <f aca="false">IF(O22=0,0,O23/O22)</f>
        <v>7.02498991458194</v>
      </c>
      <c r="P28" s="113" t="n">
        <f aca="false">IF(P22=0,0,P23/P22)</f>
        <v>6.96242336739981</v>
      </c>
      <c r="Q28" s="113" t="n">
        <f aca="false">IF(Q22=0,0,Q23/Q22)</f>
        <v>6.56977241526057</v>
      </c>
      <c r="R28" s="113" t="n">
        <f aca="false">IF(R22=0,0,R23/R22)</f>
        <v>6.30764743664938</v>
      </c>
      <c r="S28" s="113" t="n">
        <f aca="false">IF(S22=0,0,S23/S22)</f>
        <v>7.03671286966265</v>
      </c>
      <c r="T28" s="113" t="n">
        <f aca="false">IF(T22=0,0,T23/T22)</f>
        <v>6.30929990905821</v>
      </c>
      <c r="U28" s="113" t="n">
        <f aca="false">IF(U22=0,0,U23/U22)</f>
        <v>6.33160061312573</v>
      </c>
      <c r="V28" s="113" t="n">
        <f aca="false">IF(V22=0,0,V23/V22)</f>
        <v>8.07957878028354</v>
      </c>
      <c r="W28" s="113" t="n">
        <f aca="false">IF(W22=0,0,W23/W22)</f>
        <v>6.30936493919799</v>
      </c>
      <c r="X28" s="113" t="n">
        <f aca="false">IF(X22=0,0,X23/X22)</f>
        <v>6.48880054124473</v>
      </c>
      <c r="Y28" s="113" t="n">
        <f aca="false">IF(Y22=0,0,Y23/Y22)</f>
        <v>6.54753400710945</v>
      </c>
      <c r="Z28" s="113" t="n">
        <f aca="false">IF(Z22=0,0,Z23/Z22)</f>
        <v>6.90053086638747</v>
      </c>
      <c r="AA28" s="113" t="n">
        <f aca="false">IF(AA22=0,0,AA23/AA22)</f>
        <v>6.43564770428842</v>
      </c>
      <c r="AB28" s="113" t="n">
        <f aca="false">IF(AB22=0,0,AB23/AB22)</f>
        <v>6.31436516463292</v>
      </c>
    </row>
    <row r="29" customFormat="false" ht="15" hidden="false" customHeight="false" outlineLevel="0" collapsed="false">
      <c r="A29" s="28" t="s">
        <v>1052</v>
      </c>
      <c r="B29" s="62"/>
      <c r="C29" s="71" t="n">
        <f aca="false">IF(C22=0,0,C27/C22)</f>
        <v>2.78178070680205</v>
      </c>
      <c r="D29" s="71" t="n">
        <f aca="false">IF(D22=0,0,D27/D22)</f>
        <v>2.30872923731186</v>
      </c>
      <c r="E29" s="113" t="n">
        <f aca="false">IF(E22=0,0,E27/E22)</f>
        <v>2.97135429757011</v>
      </c>
      <c r="F29" s="113" t="n">
        <f aca="false">IF(F22=0,0,F27/F22)</f>
        <v>2.90135836953716</v>
      </c>
      <c r="G29" s="113" t="n">
        <f aca="false">IF(G22=0,0,G27/G22)</f>
        <v>3.01801211540459</v>
      </c>
      <c r="H29" s="113" t="n">
        <f aca="false">IF(H22=0,0,H27/H22)</f>
        <v>2.84979805160834</v>
      </c>
      <c r="I29" s="113" t="n">
        <f aca="false">IF(I22=0,0,I27/I22)</f>
        <v>2.98166524084832</v>
      </c>
      <c r="J29" s="113" t="n">
        <f aca="false">IF(J22=0,0,J27/J22)</f>
        <v>2.94067295264077</v>
      </c>
      <c r="K29" s="113" t="n">
        <f aca="false">IF(K22=0,0,K27/K22)</f>
        <v>2.94651317345068</v>
      </c>
      <c r="L29" s="113" t="n">
        <f aca="false">IF(L22=0,0,L27/L22)</f>
        <v>2.93800269904221</v>
      </c>
      <c r="M29" s="113" t="n">
        <f aca="false">IF(M22=0,0,M27/M22)</f>
        <v>2.91376891910928</v>
      </c>
      <c r="N29" s="113" t="n">
        <f aca="false">IF(N22=0,0,N27/N22)</f>
        <v>2.39300342071873</v>
      </c>
      <c r="O29" s="113" t="n">
        <f aca="false">IF(O22=0,0,O27/O22)</f>
        <v>2.38077894283482</v>
      </c>
      <c r="P29" s="113" t="n">
        <f aca="false">IF(P22=0,0,P27/P22)</f>
        <v>2.37549127706852</v>
      </c>
      <c r="Q29" s="113" t="n">
        <f aca="false">IF(Q22=0,0,Q27/Q22)</f>
        <v>2.34947935868037</v>
      </c>
      <c r="R29" s="113" t="n">
        <f aca="false">IF(R22=0,0,R27/R22)</f>
        <v>2.33663528424402</v>
      </c>
      <c r="S29" s="113" t="n">
        <f aca="false">IF(S22=0,0,S27/S22)</f>
        <v>2.33038382882327</v>
      </c>
      <c r="T29" s="113" t="n">
        <f aca="false">IF(T22=0,0,T27/T22)</f>
        <v>2.32227016107066</v>
      </c>
      <c r="U29" s="113" t="n">
        <f aca="false">IF(U22=0,0,U27/U22)</f>
        <v>2.31798636282225</v>
      </c>
      <c r="V29" s="113" t="n">
        <f aca="false">IF(V22=0,0,V27/V22)</f>
        <v>2.32729757657837</v>
      </c>
      <c r="W29" s="113" t="n">
        <f aca="false">IF(W22=0,0,W27/W22)</f>
        <v>2.30406131868827</v>
      </c>
      <c r="X29" s="113" t="n">
        <f aca="false">IF(X22=0,0,X27/X22)</f>
        <v>2.30393937173371</v>
      </c>
      <c r="Y29" s="113" t="n">
        <f aca="false">IF(Y22=0,0,Y27/Y22)</f>
        <v>2.2911870511688</v>
      </c>
      <c r="Z29" s="113" t="n">
        <f aca="false">IF(Z22=0,0,Z27/Z22)</f>
        <v>2.28489866540303</v>
      </c>
      <c r="AA29" s="113" t="n">
        <f aca="false">IF(AA22=0,0,AA27/AA22)</f>
        <v>2.27497705413585</v>
      </c>
      <c r="AB29" s="113" t="n">
        <f aca="false">IF(AB22=0,0,AB27/AB22)</f>
        <v>2.27795152878013</v>
      </c>
    </row>
    <row r="30" customFormat="false" ht="15" hidden="false" customHeight="false" outlineLevel="0" collapsed="false">
      <c r="A30" s="28" t="s">
        <v>1053</v>
      </c>
      <c r="B30" s="62"/>
      <c r="C30" s="71" t="n">
        <f aca="false">IF(C22=0,0,C24/C22)</f>
        <v>0.423570720904635</v>
      </c>
      <c r="D30" s="71" t="n">
        <f aca="false">IF(D22=0,0,D24/D22)</f>
        <v>0.376444827507434</v>
      </c>
      <c r="E30" s="113" t="n">
        <f aca="false">IF(E22=0,0,E24/E22)</f>
        <v>0.456832775101185</v>
      </c>
      <c r="F30" s="113" t="n">
        <f aca="false">IF(F22=0,0,F24/F22)</f>
        <v>0.427400133154885</v>
      </c>
      <c r="G30" s="113" t="n">
        <f aca="false">IF(G22=0,0,G24/G22)</f>
        <v>0.453581867495314</v>
      </c>
      <c r="H30" s="113" t="n">
        <f aca="false">IF(H22=0,0,H24/H22)</f>
        <v>0.427048177527256</v>
      </c>
      <c r="I30" s="113" t="n">
        <f aca="false">IF(I22=0,0,I24/I22)</f>
        <v>0.429340133303035</v>
      </c>
      <c r="J30" s="113" t="n">
        <f aca="false">IF(J22=0,0,J24/J22)</f>
        <v>0.430210869332896</v>
      </c>
      <c r="K30" s="113" t="n">
        <f aca="false">IF(K22=0,0,K24/K22)</f>
        <v>0.423411007830434</v>
      </c>
      <c r="L30" s="113" t="n">
        <f aca="false">IF(L22=0,0,L24/L22)</f>
        <v>0.416965090452009</v>
      </c>
      <c r="M30" s="113" t="n">
        <f aca="false">IF(M22=0,0,M24/M22)</f>
        <v>0.418527792160609</v>
      </c>
      <c r="N30" s="113" t="n">
        <f aca="false">IF(N22=0,0,N24/N22)</f>
        <v>0.408837871224819</v>
      </c>
      <c r="O30" s="113" t="n">
        <f aca="false">IF(O22=0,0,O24/O22)</f>
        <v>0.404066565225615</v>
      </c>
      <c r="P30" s="113" t="n">
        <f aca="false">IF(P22=0,0,P24/P22)</f>
        <v>0.404279293427425</v>
      </c>
      <c r="Q30" s="113" t="n">
        <f aca="false">IF(Q22=0,0,Q24/Q22)</f>
        <v>0.400194617452795</v>
      </c>
      <c r="R30" s="113" t="n">
        <f aca="false">IF(R22=0,0,R24/R22)</f>
        <v>0.391828771529788</v>
      </c>
      <c r="S30" s="113" t="n">
        <f aca="false">IF(S22=0,0,S24/S22)</f>
        <v>0.396168589010191</v>
      </c>
      <c r="T30" s="113" t="n">
        <f aca="false">IF(T22=0,0,T24/T22)</f>
        <v>0.383605826098189</v>
      </c>
      <c r="U30" s="113" t="n">
        <f aca="false">IF(U22=0,0,U24/U22)</f>
        <v>0.383763742449023</v>
      </c>
      <c r="V30" s="113" t="n">
        <f aca="false">IF(V22=0,0,V24/V22)</f>
        <v>0.381138155449424</v>
      </c>
      <c r="W30" s="113" t="n">
        <f aca="false">IF(W22=0,0,W24/W22)</f>
        <v>0.372848836950664</v>
      </c>
      <c r="X30" s="113" t="n">
        <f aca="false">IF(X22=0,0,X24/X22)</f>
        <v>0.372178292859475</v>
      </c>
      <c r="Y30" s="113" t="n">
        <f aca="false">IF(Y22=0,0,Y24/Y22)</f>
        <v>0.36902493874369</v>
      </c>
      <c r="Z30" s="113" t="n">
        <f aca="false">IF(Z22=0,0,Z24/Z22)</f>
        <v>0.36041553945016</v>
      </c>
      <c r="AA30" s="113" t="n">
        <f aca="false">IF(AA22=0,0,AA24/AA22)</f>
        <v>0.357568173643799</v>
      </c>
      <c r="AB30" s="113" t="n">
        <f aca="false">IF(AB22=0,0,AB24/AB22)</f>
        <v>0.35837000303079</v>
      </c>
    </row>
    <row r="31" customFormat="false" ht="15" hidden="false" customHeight="false" outlineLevel="0" collapsed="false">
      <c r="A31" s="28" t="s">
        <v>1054</v>
      </c>
      <c r="B31" s="62"/>
      <c r="C31" s="71" t="n">
        <f aca="false">IF(C22=0,0,C25/C22)</f>
        <v>1.92792864647962</v>
      </c>
      <c r="D31" s="71" t="n">
        <f aca="false">IF(D22=0,0,D25/D22)</f>
        <v>1.57026956294164</v>
      </c>
      <c r="E31" s="113" t="n">
        <f aca="false">IF(E22=0,0,E25/E22)</f>
        <v>2.04166291605091</v>
      </c>
      <c r="F31" s="113" t="n">
        <f aca="false">IF(F22=0,0,F25/F22)</f>
        <v>2.02903436412426</v>
      </c>
      <c r="G31" s="113" t="n">
        <f aca="false">IF(G22=0,0,G25/G22)</f>
        <v>2.10844938381345</v>
      </c>
      <c r="H31" s="113" t="n">
        <f aca="false">IF(H22=0,0,H25/H22)</f>
        <v>1.99800846646756</v>
      </c>
      <c r="I31" s="113" t="n">
        <f aca="false">IF(I22=0,0,I25/I22)</f>
        <v>2.13767353026081</v>
      </c>
      <c r="J31" s="113" t="n">
        <f aca="false">IF(J22=0,0,J25/J22)</f>
        <v>2.05511048136746</v>
      </c>
      <c r="K31" s="113" t="n">
        <f aca="false">IF(K22=0,0,K25/K22)</f>
        <v>2.07990082587196</v>
      </c>
      <c r="L31" s="113" t="n">
        <f aca="false">IF(L22=0,0,L25/L22)</f>
        <v>2.0723571262734</v>
      </c>
      <c r="M31" s="113" t="n">
        <f aca="false">IF(M22=0,0,M25/M22)</f>
        <v>2.09369275058885</v>
      </c>
      <c r="N31" s="113" t="n">
        <f aca="false">IF(N22=0,0,N25/N22)</f>
        <v>1.57026956294164</v>
      </c>
      <c r="O31" s="113" t="n">
        <f aca="false">IF(O22=0,0,O25/O22)</f>
        <v>1.57026956294164</v>
      </c>
      <c r="P31" s="113" t="n">
        <f aca="false">IF(P22=0,0,P25/P22)</f>
        <v>1.57026956294164</v>
      </c>
      <c r="Q31" s="113" t="n">
        <f aca="false">IF(Q22=0,0,Q25/Q22)</f>
        <v>1.57026956294164</v>
      </c>
      <c r="R31" s="113" t="n">
        <f aca="false">IF(R22=0,0,R25/R22)</f>
        <v>1.57026956294164</v>
      </c>
      <c r="S31" s="113" t="n">
        <f aca="false">IF(S22=0,0,S25/S22)</f>
        <v>1.57026956294164</v>
      </c>
      <c r="T31" s="113" t="n">
        <f aca="false">IF(T22=0,0,T25/T22)</f>
        <v>1.57026956294164</v>
      </c>
      <c r="U31" s="113" t="n">
        <f aca="false">IF(U22=0,0,U25/U22)</f>
        <v>1.57026956294164</v>
      </c>
      <c r="V31" s="113" t="n">
        <f aca="false">IF(V22=0,0,V25/V22)</f>
        <v>1.57026956294164</v>
      </c>
      <c r="W31" s="113" t="n">
        <f aca="false">IF(W22=0,0,W25/W22)</f>
        <v>1.57026956294164</v>
      </c>
      <c r="X31" s="113" t="n">
        <f aca="false">IF(X22=0,0,X25/X22)</f>
        <v>1.57026956294164</v>
      </c>
      <c r="Y31" s="113" t="n">
        <f aca="false">IF(Y22=0,0,Y25/Y22)</f>
        <v>1.57026956294164</v>
      </c>
      <c r="Z31" s="113" t="n">
        <f aca="false">IF(Z22=0,0,Z25/Z22)</f>
        <v>1.57026956294164</v>
      </c>
      <c r="AA31" s="113" t="n">
        <f aca="false">IF(AA22=0,0,AA25/AA22)</f>
        <v>1.57026956294164</v>
      </c>
      <c r="AB31" s="113" t="n">
        <f aca="false">IF(AB22=0,0,AB25/AB22)</f>
        <v>1.57026956294164</v>
      </c>
    </row>
    <row r="32" customFormat="false" ht="15" hidden="false" customHeight="false" outlineLevel="0" collapsed="false">
      <c r="A32" s="28" t="s">
        <v>1055</v>
      </c>
      <c r="B32" s="62"/>
      <c r="C32" s="66" t="n">
        <f aca="false">IF(C23=0,0,C27/C23)</f>
        <v>0.372657759014712</v>
      </c>
      <c r="D32" s="66" t="n">
        <f aca="false">IF(D23=0,0,D27/D23)</f>
        <v>0.347954989136335</v>
      </c>
      <c r="E32" s="75" t="n">
        <f aca="false">IF(E23=0,0,E27/E23)</f>
        <v>0.384701415830426</v>
      </c>
      <c r="F32" s="75" t="n">
        <f aca="false">IF(F23=0,0,F27/F23)</f>
        <v>0.404777092241248</v>
      </c>
      <c r="G32" s="75" t="n">
        <f aca="false">IF(G23=0,0,G27/G23)</f>
        <v>0.361132078601626</v>
      </c>
      <c r="H32" s="75" t="n">
        <f aca="false">IF(H23=0,0,H27/H23)</f>
        <v>0.396757351113447</v>
      </c>
      <c r="I32" s="75" t="n">
        <f aca="false">IF(I23=0,0,I27/I23)</f>
        <v>0.401383299190387</v>
      </c>
      <c r="J32" s="75" t="n">
        <f aca="false">IF(J23=0,0,J27/J23)</f>
        <v>0.363811993032388</v>
      </c>
      <c r="K32" s="75" t="n">
        <f aca="false">IF(K23=0,0,K27/K23)</f>
        <v>0.399909730032743</v>
      </c>
      <c r="L32" s="75" t="n">
        <f aca="false">IF(L23=0,0,L27/L23)</f>
        <v>0.377416521260341</v>
      </c>
      <c r="M32" s="75" t="n">
        <f aca="false">IF(M23=0,0,M27/M23)</f>
        <v>0.37686471739725</v>
      </c>
      <c r="N32" s="75" t="n">
        <f aca="false">IF(N23=0,0,N27/N23)</f>
        <v>0.340564363398943</v>
      </c>
      <c r="O32" s="75" t="n">
        <f aca="false">IF(O23=0,0,O27/O23)</f>
        <v>0.338901403672193</v>
      </c>
      <c r="P32" s="75" t="n">
        <f aca="false">IF(P23=0,0,P27/P23)</f>
        <v>0.341187421637025</v>
      </c>
      <c r="Q32" s="75" t="n">
        <f aca="false">IF(Q23=0,0,Q27/Q23)</f>
        <v>0.357619596262253</v>
      </c>
      <c r="R32" s="75" t="n">
        <f aca="false">IF(R23=0,0,R27/R23)</f>
        <v>0.370444814443408</v>
      </c>
      <c r="S32" s="75" t="n">
        <f aca="false">IF(S23=0,0,S27/S23)</f>
        <v>0.331175063127877</v>
      </c>
      <c r="T32" s="75" t="n">
        <f aca="false">IF(T23=0,0,T27/T23)</f>
        <v>0.368070973728257</v>
      </c>
      <c r="U32" s="75" t="n">
        <f aca="false">IF(U23=0,0,U27/U23)</f>
        <v>0.366098006563608</v>
      </c>
      <c r="V32" s="75" t="n">
        <f aca="false">IF(V23=0,0,V27/V23)</f>
        <v>0.288046894506139</v>
      </c>
      <c r="W32" s="75" t="n">
        <f aca="false">IF(W23=0,0,W27/W23)</f>
        <v>0.365181177644979</v>
      </c>
      <c r="X32" s="75" t="n">
        <f aca="false">IF(X23=0,0,X27/X23)</f>
        <v>0.355063984027432</v>
      </c>
      <c r="Y32" s="75" t="n">
        <f aca="false">IF(Y23=0,0,Y27/Y23)</f>
        <v>0.349931294542492</v>
      </c>
      <c r="Z32" s="75" t="n">
        <f aca="false">IF(Z23=0,0,Z27/Z23)</f>
        <v>0.331119258741786</v>
      </c>
      <c r="AA32" s="75" t="n">
        <f aca="false">IF(AA23=0,0,AA27/AA23)</f>
        <v>0.35349620716807</v>
      </c>
      <c r="AB32" s="75" t="n">
        <f aca="false">IF(AB23=0,0,AB27/AB23)</f>
        <v>0.360757015058149</v>
      </c>
    </row>
    <row r="33" customFormat="false" ht="15" hidden="false" customHeight="false" outlineLevel="0" collapsed="false">
      <c r="A33" s="28" t="s">
        <v>1056</v>
      </c>
      <c r="B33" s="62"/>
      <c r="C33" s="71" t="n">
        <f aca="false">C28-C29</f>
        <v>4.68292555386171</v>
      </c>
      <c r="D33" s="71" t="n">
        <f aca="false">D28-D29</f>
        <v>4.32640837931608</v>
      </c>
      <c r="E33" s="113" t="n">
        <f aca="false">E28-E29</f>
        <v>4.75243920902791</v>
      </c>
      <c r="F33" s="113" t="n">
        <f aca="false">F28-F29</f>
        <v>4.26643453463228</v>
      </c>
      <c r="G33" s="113" t="n">
        <f aca="false">G28-G29</f>
        <v>5.3390746521042</v>
      </c>
      <c r="H33" s="113" t="n">
        <f aca="false">H28-H29</f>
        <v>4.3329246972223</v>
      </c>
      <c r="I33" s="113" t="n">
        <f aca="false">I28-I29</f>
        <v>4.44680835748651</v>
      </c>
      <c r="J33" s="113" t="n">
        <f aca="false">J28-J29</f>
        <v>5.14227375873657</v>
      </c>
      <c r="K33" s="113" t="n">
        <f aca="false">K28-K29</f>
        <v>4.42143252071744</v>
      </c>
      <c r="L33" s="113" t="n">
        <f aca="false">L28-L29</f>
        <v>4.8465073410352</v>
      </c>
      <c r="M33" s="113" t="n">
        <f aca="false">M28-M29</f>
        <v>4.8178355124032</v>
      </c>
      <c r="N33" s="113" t="n">
        <f aca="false">N28-N29</f>
        <v>4.63357856465337</v>
      </c>
      <c r="O33" s="113" t="n">
        <f aca="false">O28-O29</f>
        <v>4.64421097174713</v>
      </c>
      <c r="P33" s="113" t="n">
        <f aca="false">P28-P29</f>
        <v>4.58693209033129</v>
      </c>
      <c r="Q33" s="113" t="n">
        <f aca="false">Q28-Q29</f>
        <v>4.2202930565802</v>
      </c>
      <c r="R33" s="113" t="n">
        <f aca="false">R28-R29</f>
        <v>3.97101215240536</v>
      </c>
      <c r="S33" s="113" t="n">
        <f aca="false">S28-S29</f>
        <v>4.70632904083938</v>
      </c>
      <c r="T33" s="113" t="n">
        <f aca="false">T28-T29</f>
        <v>3.98702974798755</v>
      </c>
      <c r="U33" s="113" t="n">
        <f aca="false">U28-U29</f>
        <v>4.01361425030348</v>
      </c>
      <c r="V33" s="113" t="n">
        <f aca="false">V28-V29</f>
        <v>5.75228120370517</v>
      </c>
      <c r="W33" s="113" t="n">
        <f aca="false">W28-W29</f>
        <v>4.00530362050972</v>
      </c>
      <c r="X33" s="113" t="n">
        <f aca="false">X28-X29</f>
        <v>4.18486116951102</v>
      </c>
      <c r="Y33" s="113" t="n">
        <f aca="false">Y28-Y29</f>
        <v>4.25634695594065</v>
      </c>
      <c r="Z33" s="113" t="n">
        <f aca="false">Z28-Z29</f>
        <v>4.61563220098443</v>
      </c>
      <c r="AA33" s="113" t="n">
        <f aca="false">AA28-AA29</f>
        <v>4.16067065015256</v>
      </c>
      <c r="AB33" s="113" t="n">
        <f aca="false">AB28-AB29</f>
        <v>4.03641363585279</v>
      </c>
    </row>
    <row r="34" customFormat="false" ht="15" hidden="false" customHeight="false" outlineLevel="0" collapsed="false">
      <c r="A34" s="22" t="s">
        <v>1060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row>
    <row r="35" customFormat="false" ht="15" hidden="false" customHeight="false" outlineLevel="0" collapsed="false">
      <c r="A35" s="28" t="s">
        <v>1045</v>
      </c>
      <c r="B35" s="62" t="s">
        <v>44</v>
      </c>
      <c r="C35" s="67" t="n">
        <f aca="false">SUM(E35:P35)</f>
        <v>102867.030058248</v>
      </c>
      <c r="D35" s="67" t="n">
        <f aca="false">SUM(Q35:AB35)</f>
        <v>149373.934821881</v>
      </c>
      <c r="E35" s="68" t="n">
        <f aca="false">Revenue!E27</f>
        <v>7665.8</v>
      </c>
      <c r="F35" s="68" t="n">
        <f aca="false">Revenue!F27</f>
        <v>7877.6</v>
      </c>
      <c r="G35" s="68" t="n">
        <f aca="false">Revenue!G27</f>
        <v>7509.5</v>
      </c>
      <c r="H35" s="68" t="n">
        <f aca="false">Revenue!H27</f>
        <v>7874.2</v>
      </c>
      <c r="I35" s="68" t="n">
        <f aca="false">Revenue!I27</f>
        <v>8049.8</v>
      </c>
      <c r="J35" s="68" t="n">
        <f aca="false">Revenue!J27</f>
        <v>8365.4</v>
      </c>
      <c r="K35" s="68" t="n">
        <f aca="false">Revenue!K27</f>
        <v>8901.9</v>
      </c>
      <c r="L35" s="68" t="n">
        <f aca="false">Revenue!L27</f>
        <v>8967.2</v>
      </c>
      <c r="M35" s="68" t="n">
        <f aca="false">Revenue!M27</f>
        <v>9057.72836875341</v>
      </c>
      <c r="N35" s="68" t="n">
        <f aca="false">Revenue!N27</f>
        <v>9220.68374253818</v>
      </c>
      <c r="O35" s="68" t="n">
        <f aca="false">Revenue!O27</f>
        <v>9533.59474595456</v>
      </c>
      <c r="P35" s="68" t="n">
        <f aca="false">Revenue!P27</f>
        <v>9843.62320100189</v>
      </c>
      <c r="Q35" s="68" t="n">
        <f aca="false">Revenue!Q27</f>
        <v>11189.1669345237</v>
      </c>
      <c r="R35" s="68" t="n">
        <f aca="false">Revenue!R27</f>
        <v>11479.1701687184</v>
      </c>
      <c r="S35" s="68" t="n">
        <f aca="false">Revenue!S27</f>
        <v>11799.2307196037</v>
      </c>
      <c r="T35" s="68" t="n">
        <f aca="false">Revenue!T27</f>
        <v>11917.6318830545</v>
      </c>
      <c r="U35" s="68" t="n">
        <f aca="false">Revenue!U27</f>
        <v>12299.7873522044</v>
      </c>
      <c r="V35" s="68" t="n">
        <f aca="false">Revenue!V27</f>
        <v>12439.0069750038</v>
      </c>
      <c r="W35" s="68" t="n">
        <f aca="false">Revenue!W27</f>
        <v>12572.9296814764</v>
      </c>
      <c r="X35" s="68" t="n">
        <f aca="false">Revenue!X27</f>
        <v>12678.6959713744</v>
      </c>
      <c r="Y35" s="68" t="n">
        <f aca="false">Revenue!Y27</f>
        <v>12920.3442888713</v>
      </c>
      <c r="Z35" s="68" t="n">
        <f aca="false">Revenue!Z27</f>
        <v>13144.7685012457</v>
      </c>
      <c r="AA35" s="68" t="n">
        <f aca="false">Revenue!AA27</f>
        <v>13355.1483877175</v>
      </c>
      <c r="AB35" s="68" t="n">
        <f aca="false">Revenue!AB27</f>
        <v>13578.0539580876</v>
      </c>
    </row>
    <row r="36" customFormat="false" ht="15" hidden="false" customHeight="false" outlineLevel="0" collapsed="false">
      <c r="A36" s="28" t="s">
        <v>44</v>
      </c>
      <c r="B36" s="62" t="s">
        <v>44</v>
      </c>
      <c r="C36" s="64" t="n">
        <f aca="false">SUM(E36:P36)</f>
        <v>1806423.66872471</v>
      </c>
      <c r="D36" s="64" t="n">
        <f aca="false">SUM(Q36:AB36)</f>
        <v>2329981.37079018</v>
      </c>
      <c r="E36" s="65" t="n">
        <f aca="false">Revenue!E22</f>
        <v>134311.906181818</v>
      </c>
      <c r="F36" s="65" t="n">
        <f aca="false">Revenue!F22</f>
        <v>132718.867227273</v>
      </c>
      <c r="G36" s="65" t="n">
        <f aca="false">Revenue!G22</f>
        <v>137063.120227273</v>
      </c>
      <c r="H36" s="65" t="n">
        <f aca="false">Revenue!H22</f>
        <v>133699.382954545</v>
      </c>
      <c r="I36" s="65" t="n">
        <f aca="false">Revenue!I22</f>
        <v>147104.728318182</v>
      </c>
      <c r="J36" s="65" t="n">
        <f aca="false">Revenue!J22</f>
        <v>149750.988181818</v>
      </c>
      <c r="K36" s="65" t="n">
        <f aca="false">Revenue!K22</f>
        <v>157528.079181818</v>
      </c>
      <c r="L36" s="65" t="n">
        <f aca="false">Revenue!L22</f>
        <v>158956.981545455</v>
      </c>
      <c r="M36" s="65" t="n">
        <f aca="false">Revenue!M22</f>
        <v>180031.033820679</v>
      </c>
      <c r="N36" s="65" t="n">
        <f aca="false">Revenue!N22</f>
        <v>153821.773500634</v>
      </c>
      <c r="O36" s="65" t="n">
        <f aca="false">Revenue!O22</f>
        <v>158888.971659634</v>
      </c>
      <c r="P36" s="65" t="n">
        <f aca="false">Revenue!P22</f>
        <v>162547.835925577</v>
      </c>
      <c r="Q36" s="65" t="n">
        <f aca="false">Revenue!Q22</f>
        <v>170986.561483436</v>
      </c>
      <c r="R36" s="65" t="n">
        <f aca="false">Revenue!R22</f>
        <v>171262.727229513</v>
      </c>
      <c r="S36" s="65" t="n">
        <f aca="false">Revenue!S22</f>
        <v>205048.180200761</v>
      </c>
      <c r="T36" s="65" t="n">
        <f aca="false">Revenue!T22</f>
        <v>177861.366455813</v>
      </c>
      <c r="U36" s="65" t="n">
        <f aca="false">Revenue!U22</f>
        <v>183642.176104954</v>
      </c>
      <c r="V36" s="65" t="n">
        <f aca="false">Revenue!V22</f>
        <v>214204.769888366</v>
      </c>
      <c r="W36" s="65" t="n">
        <f aca="false">Revenue!W22</f>
        <v>187123.949444999</v>
      </c>
      <c r="X36" s="65" t="n">
        <f aca="false">Revenue!X22</f>
        <v>191777.744211925</v>
      </c>
      <c r="Y36" s="65" t="n">
        <f aca="false">Revenue!Y22</f>
        <v>206057.891021445</v>
      </c>
      <c r="Z36" s="65" t="n">
        <f aca="false">Revenue!Z22</f>
        <v>208962.006944267</v>
      </c>
      <c r="AA36" s="65" t="n">
        <f aca="false">Revenue!AA22</f>
        <v>210996.400212729</v>
      </c>
      <c r="AB36" s="65" t="n">
        <f aca="false">Revenue!AB22</f>
        <v>202057.59759197</v>
      </c>
    </row>
    <row r="37" customFormat="false" ht="15" hidden="false" customHeight="false" outlineLevel="0" collapsed="false">
      <c r="A37" s="28" t="s">
        <v>1046</v>
      </c>
      <c r="B37" s="62" t="s">
        <v>1047</v>
      </c>
      <c r="C37" s="64" t="n">
        <f aca="false">SUM(E37:P37)</f>
        <v>3963.0297704781</v>
      </c>
      <c r="D37" s="64" t="n">
        <f aca="false">SUM(Q37:AB37)</f>
        <v>5112.40479202819</v>
      </c>
      <c r="E37" s="65" t="n">
        <f aca="false">IF(Usage_Compute!E18=0,0,(Usage_Compute!E41+Usage_Compute!E42)*Usage_Compute!E17/Usage_Compute!E18)</f>
        <v>318.362607942788</v>
      </c>
      <c r="F37" s="65" t="n">
        <f aca="false">IF(Usage_Compute!F18=0,0,(Usage_Compute!F41+Usage_Compute!F42)*Usage_Compute!F17/Usage_Compute!F18)</f>
        <v>306.080662630993</v>
      </c>
      <c r="G37" s="65" t="n">
        <f aca="false">IF(Usage_Compute!G18=0,0,(Usage_Compute!G41+Usage_Compute!G42)*Usage_Compute!G17/Usage_Compute!G18)</f>
        <v>309.652093996005</v>
      </c>
      <c r="H37" s="65" t="n">
        <f aca="false">IF(Usage_Compute!H18=0,0,(Usage_Compute!H41+Usage_Compute!H42)*Usage_Compute!H17/Usage_Compute!H18)</f>
        <v>305.696614498647</v>
      </c>
      <c r="I37" s="65" t="n">
        <f aca="false">IF(Usage_Compute!I18=0,0,(Usage_Compute!I41+Usage_Compute!I42)*Usage_Compute!I17/Usage_Compute!I18)</f>
        <v>314.191109551161</v>
      </c>
      <c r="J37" s="65" t="n">
        <f aca="false">IF(Usage_Compute!J18=0,0,(Usage_Compute!J41+Usage_Compute!J42)*Usage_Compute!J17/Usage_Compute!J18)</f>
        <v>327.171455119764</v>
      </c>
      <c r="K37" s="65" t="n">
        <f aca="false">IF(Usage_Compute!K18=0,0,(Usage_Compute!K41+Usage_Compute!K42)*Usage_Compute!K17/Usage_Compute!K18)</f>
        <v>342.65113187325</v>
      </c>
      <c r="L37" s="65" t="n">
        <f aca="false">IF(Usage_Compute!L18=0,0,(Usage_Compute!L41+Usage_Compute!L42)*Usage_Compute!L17/Usage_Compute!L18)</f>
        <v>339.909941736477</v>
      </c>
      <c r="M37" s="65" t="n">
        <f aca="false">IF(Usage_Compute!M18=0,0,(Usage_Compute!M41+Usage_Compute!M42)*Usage_Compute!M17/Usage_Compute!M18)</f>
        <v>344.628277833171</v>
      </c>
      <c r="N37" s="65" t="n">
        <f aca="false">IF(Usage_Compute!N18=0,0,(Usage_Compute!N41+Usage_Compute!N42)*Usage_Compute!N17/Usage_Compute!N18)</f>
        <v>342.705882957873</v>
      </c>
      <c r="O37" s="65" t="n">
        <f aca="false">IF(Usage_Compute!O18=0,0,(Usage_Compute!O41+Usage_Compute!O42)*Usage_Compute!O17/Usage_Compute!O18)</f>
        <v>350.200625750075</v>
      </c>
      <c r="P37" s="65" t="n">
        <f aca="false">IF(Usage_Compute!P18=0,0,(Usage_Compute!P41+Usage_Compute!P42)*Usage_Compute!P17/Usage_Compute!P18)</f>
        <v>361.779366587896</v>
      </c>
      <c r="Q37" s="65" t="n">
        <f aca="false">IF(Usage_Compute!Q18=0,0,(Usage_Compute!Q41+Usage_Compute!Q42)*Usage_Compute!Q17/Usage_Compute!Q18)</f>
        <v>407.076761907018</v>
      </c>
      <c r="R37" s="65" t="n">
        <f aca="false">IF(Usage_Compute!R18=0,0,(Usage_Compute!R41+Usage_Compute!R42)*Usage_Compute!R17/Usage_Compute!R18)</f>
        <v>408.897195035482</v>
      </c>
      <c r="S37" s="65" t="n">
        <f aca="false">IF(Usage_Compute!S18=0,0,(Usage_Compute!S41+Usage_Compute!S42)*Usage_Compute!S17/Usage_Compute!S18)</f>
        <v>424.953144144647</v>
      </c>
      <c r="T37" s="65" t="n">
        <f aca="false">IF(Usage_Compute!T18=0,0,(Usage_Compute!T41+Usage_Compute!T42)*Usage_Compute!T17/Usage_Compute!T18)</f>
        <v>415.606638512113</v>
      </c>
      <c r="U37" s="65" t="n">
        <f aca="false">IF(Usage_Compute!U18=0,0,(Usage_Compute!U41+Usage_Compute!U42)*Usage_Compute!U17/Usage_Compute!U18)</f>
        <v>429.11022050992</v>
      </c>
      <c r="V37" s="65" t="n">
        <f aca="false">IF(Usage_Compute!V18=0,0,(Usage_Compute!V41+Usage_Compute!V42)*Usage_Compute!V17/Usage_Compute!V18)</f>
        <v>430.998197643225</v>
      </c>
      <c r="W37" s="65" t="n">
        <f aca="false">IF(Usage_Compute!W18=0,0,(Usage_Compute!W41+Usage_Compute!W42)*Usage_Compute!W17/Usage_Compute!W18)</f>
        <v>426.163837163724</v>
      </c>
      <c r="X37" s="65" t="n">
        <f aca="false">IF(Usage_Compute!X18=0,0,(Usage_Compute!X41+Usage_Compute!X42)*Usage_Compute!X17/Usage_Compute!X18)</f>
        <v>428.975947482767</v>
      </c>
      <c r="Y37" s="65" t="n">
        <f aca="false">IF(Usage_Compute!Y18=0,0,(Usage_Compute!Y41+Usage_Compute!Y42)*Usage_Compute!Y17/Usage_Compute!Y18)</f>
        <v>433.448114522555</v>
      </c>
      <c r="Z37" s="65" t="n">
        <f aca="false">IF(Usage_Compute!Z18=0,0,(Usage_Compute!Z41+Usage_Compute!Z42)*Usage_Compute!Z17/Usage_Compute!Z18)</f>
        <v>430.688984574905</v>
      </c>
      <c r="AA37" s="65" t="n">
        <f aca="false">IF(Usage_Compute!AA18=0,0,(Usage_Compute!AA41+Usage_Compute!AA42)*Usage_Compute!AA17/Usage_Compute!AA18)</f>
        <v>434.125092521642</v>
      </c>
      <c r="AB37" s="65" t="n">
        <f aca="false">IF(Usage_Compute!AB18=0,0,(Usage_Compute!AB41+Usage_Compute!AB42)*Usage_Compute!AB17/Usage_Compute!AB18)</f>
        <v>442.36065801019</v>
      </c>
    </row>
    <row r="38" customFormat="false" ht="15" hidden="false" customHeight="false" outlineLevel="0" collapsed="false">
      <c r="A38" s="28" t="s">
        <v>1058</v>
      </c>
      <c r="B38" s="62" t="s">
        <v>1059</v>
      </c>
      <c r="C38" s="64" t="n">
        <f aca="false">SUM(E38:P38)</f>
        <v>496423.775004601</v>
      </c>
      <c r="D38" s="64" t="n">
        <f aca="false">SUM(Q38:AB38)</f>
        <v>586393.358369071</v>
      </c>
      <c r="E38" s="65" t="n">
        <f aca="false">IF(Usage_Compute!E28=0,0,Usage_Compute!E44*Usage_Compute!E11*Assumptions!$C$149/(Usage_Compute!E10*Assumptions!$C$148+Usage_Compute!E11*Assumptions!$C$149))</f>
        <v>39127.4489546576</v>
      </c>
      <c r="F38" s="65" t="n">
        <f aca="false">IF(Usage_Compute!F28=0,0,Usage_Compute!F44*Usage_Compute!F11*Assumptions!$C$149/(Usage_Compute!F10*Assumptions!$C$148+Usage_Compute!F11*Assumptions!$C$149))</f>
        <v>39959.8027670631</v>
      </c>
      <c r="G38" s="65" t="n">
        <f aca="false">IF(Usage_Compute!G28=0,0,Usage_Compute!G44*Usage_Compute!G11*Assumptions!$C$149/(Usage_Compute!G10*Assumptions!$C$148+Usage_Compute!G11*Assumptions!$C$149))</f>
        <v>39583.5016193677</v>
      </c>
      <c r="H38" s="65" t="n">
        <f aca="false">IF(Usage_Compute!H28=0,0,Usage_Compute!H44*Usage_Compute!H11*Assumptions!$C$149/(Usage_Compute!H10*Assumptions!$C$148+Usage_Compute!H11*Assumptions!$C$149))</f>
        <v>39331.7956666472</v>
      </c>
      <c r="I38" s="65" t="n">
        <f aca="false">IF(Usage_Compute!I28=0,0,Usage_Compute!I44*Usage_Compute!I11*Assumptions!$C$149/(Usage_Compute!I10*Assumptions!$C$148+Usage_Compute!I11*Assumptions!$C$149))</f>
        <v>43019.6109597337</v>
      </c>
      <c r="J38" s="65" t="n">
        <f aca="false">IF(Usage_Compute!J28=0,0,Usage_Compute!J44*Usage_Compute!J11*Assumptions!$C$149/(Usage_Compute!J10*Assumptions!$C$148+Usage_Compute!J11*Assumptions!$C$149))</f>
        <v>42979.5530520783</v>
      </c>
      <c r="K38" s="65" t="n">
        <f aca="false">IF(Usage_Compute!K28=0,0,Usage_Compute!K44*Usage_Compute!K11*Assumptions!$C$149/(Usage_Compute!K10*Assumptions!$C$148+Usage_Compute!K11*Assumptions!$C$149))</f>
        <v>46287.6729045741</v>
      </c>
      <c r="L38" s="65" t="n">
        <f aca="false">IF(Usage_Compute!L28=0,0,Usage_Compute!L44*Usage_Compute!L11*Assumptions!$C$149/(Usage_Compute!L10*Assumptions!$C$148+Usage_Compute!L11*Assumptions!$C$149))</f>
        <v>46458.1020567971</v>
      </c>
      <c r="M38" s="65" t="n">
        <f aca="false">IF(Usage_Compute!M28=0,0,Usage_Compute!M44*Usage_Compute!M11*Assumptions!$C$149/(Usage_Compute!M10*Assumptions!$C$148+Usage_Compute!M11*Assumptions!$C$149))</f>
        <v>47410.250556155</v>
      </c>
      <c r="N38" s="65" t="n">
        <f aca="false">IF(Usage_Compute!N28=0,0,Usage_Compute!N44*Usage_Compute!N11*Assumptions!$C$149/(Usage_Compute!N10*Assumptions!$C$148+Usage_Compute!N11*Assumptions!$C$149))</f>
        <v>36197.3975760463</v>
      </c>
      <c r="O38" s="65" t="n">
        <f aca="false">IF(Usage_Compute!O28=0,0,Usage_Compute!O44*Usage_Compute!O11*Assumptions!$C$149/(Usage_Compute!O10*Assumptions!$C$148+Usage_Compute!O11*Assumptions!$C$149))</f>
        <v>37425.7841374819</v>
      </c>
      <c r="P38" s="65" t="n">
        <f aca="false">IF(Usage_Compute!P28=0,0,Usage_Compute!P44*Usage_Compute!P11*Assumptions!$C$149/(Usage_Compute!P10*Assumptions!$C$148+Usage_Compute!P11*Assumptions!$C$149))</f>
        <v>38642.8547539985</v>
      </c>
      <c r="Q38" s="65" t="n">
        <f aca="false">IF(Usage_Compute!Q28=0,0,Usage_Compute!Q44*Usage_Compute!Q11*Assumptions!$C$149/(Usage_Compute!Q10*Assumptions!$C$148+Usage_Compute!Q11*Assumptions!$C$149))</f>
        <v>43925.0206798891</v>
      </c>
      <c r="R38" s="65" t="n">
        <f aca="false">IF(Usage_Compute!R28=0,0,Usage_Compute!R44*Usage_Compute!R11*Assumptions!$C$149/(Usage_Compute!R10*Assumptions!$C$148+Usage_Compute!R11*Assumptions!$C$149))</f>
        <v>45063.4788094152</v>
      </c>
      <c r="S38" s="65" t="n">
        <f aca="false">IF(Usage_Compute!S28=0,0,Usage_Compute!S44*Usage_Compute!S11*Assumptions!$C$149/(Usage_Compute!S10*Assumptions!$C$148+Usage_Compute!S11*Assumptions!$C$149))</f>
        <v>46319.9321627993</v>
      </c>
      <c r="T38" s="65" t="n">
        <f aca="false">IF(Usage_Compute!T28=0,0,Usage_Compute!T44*Usage_Compute!T11*Assumptions!$C$149/(Usage_Compute!T10*Assumptions!$C$148+Usage_Compute!T11*Assumptions!$C$149))</f>
        <v>46784.7365207583</v>
      </c>
      <c r="U38" s="65" t="n">
        <f aca="false">IF(Usage_Compute!U28=0,0,Usage_Compute!U44*Usage_Compute!U11*Assumptions!$C$149/(Usage_Compute!U10*Assumptions!$C$148+Usage_Compute!U11*Assumptions!$C$149))</f>
        <v>48284.9542745527</v>
      </c>
      <c r="V38" s="65" t="n">
        <f aca="false">IF(Usage_Compute!V28=0,0,Usage_Compute!V44*Usage_Compute!V11*Assumptions!$C$149/(Usage_Compute!V10*Assumptions!$C$148+Usage_Compute!V11*Assumptions!$C$149))</f>
        <v>48831.4851151681</v>
      </c>
      <c r="W38" s="65" t="n">
        <f aca="false">IF(Usage_Compute!W28=0,0,Usage_Compute!W44*Usage_Compute!W11*Assumptions!$C$149/(Usage_Compute!W10*Assumptions!$C$148+Usage_Compute!W11*Assumptions!$C$149))</f>
        <v>49357.2219895699</v>
      </c>
      <c r="X38" s="65" t="n">
        <f aca="false">IF(Usage_Compute!X28=0,0,Usage_Compute!X44*Usage_Compute!X11*Assumptions!$C$149/(Usage_Compute!X10*Assumptions!$C$148+Usage_Compute!X11*Assumptions!$C$149))</f>
        <v>49772.4259541</v>
      </c>
      <c r="Y38" s="65" t="n">
        <f aca="false">IF(Usage_Compute!Y28=0,0,Usage_Compute!Y44*Usage_Compute!Y11*Assumptions!$C$149/(Usage_Compute!Y10*Assumptions!$C$148+Usage_Compute!Y11*Assumptions!$C$149))</f>
        <v>50721.0584488534</v>
      </c>
      <c r="Z38" s="65" t="n">
        <f aca="false">IF(Usage_Compute!Z28=0,0,Usage_Compute!Z44*Usage_Compute!Z11*Assumptions!$C$149/(Usage_Compute!Z10*Assumptions!$C$148+Usage_Compute!Z11*Assumptions!$C$149))</f>
        <v>51602.0747235504</v>
      </c>
      <c r="AA38" s="65" t="n">
        <f aca="false">IF(Usage_Compute!AA28=0,0,Usage_Compute!AA44*Usage_Compute!AA11*Assumptions!$C$149/(Usage_Compute!AA10*Assumptions!$C$148+Usage_Compute!AA11*Assumptions!$C$149))</f>
        <v>52427.9575545045</v>
      </c>
      <c r="AB38" s="65" t="n">
        <f aca="false">IF(Usage_Compute!AB28=0,0,Usage_Compute!AB44*Usage_Compute!AB11*Assumptions!$C$149/(Usage_Compute!AB10*Assumptions!$C$148+Usage_Compute!AB11*Assumptions!$C$149))</f>
        <v>53303.0121359105</v>
      </c>
    </row>
    <row r="39" customFormat="false" ht="15" hidden="false" customHeight="false" outlineLevel="0" collapsed="false">
      <c r="A39" s="28" t="s">
        <v>412</v>
      </c>
      <c r="B39" s="62" t="s">
        <v>1049</v>
      </c>
      <c r="C39" s="64" t="n">
        <f aca="false">SUM(E39:P39)</f>
        <v>60310.2167734374</v>
      </c>
      <c r="D39" s="64" t="n">
        <f aca="false">SUM(Q39:AB39)</f>
        <v>63605.5413286608</v>
      </c>
      <c r="E39" s="65" t="n">
        <f aca="false">Usage_Compute!E43*(Assumptions!$C$155*Usage_Compute!E11+Assumptions!$C$152*IF(Revenue!E15=0,0,Revenue!E22/Revenue!E15))/(Assumptions!$C$153*Usage_Compute!E9+Assumptions!$C$154*Usage_Compute!E10+Assumptions!$C$155*Usage_Compute!E11+Assumptions!$C$152)</f>
        <v>5028.24468609667</v>
      </c>
      <c r="F39" s="65" t="n">
        <f aca="false">Usage_Compute!F43*(Assumptions!$C$155*Usage_Compute!F11+Assumptions!$C$152*IF(Revenue!F15=0,0,Revenue!F22/Revenue!F15))/(Assumptions!$C$153*Usage_Compute!F9+Assumptions!$C$154*Usage_Compute!F10+Assumptions!$C$155*Usage_Compute!F11+Assumptions!$C$152)</f>
        <v>4962.18099479276</v>
      </c>
      <c r="G39" s="65" t="n">
        <f aca="false">Usage_Compute!G43*(Assumptions!$C$155*Usage_Compute!G11+Assumptions!$C$152*IF(Revenue!G15=0,0,Revenue!G22/Revenue!G15))/(Assumptions!$C$153*Usage_Compute!G9+Assumptions!$C$154*Usage_Compute!G10+Assumptions!$C$155*Usage_Compute!G11+Assumptions!$C$152)</f>
        <v>4666.60982800169</v>
      </c>
      <c r="H39" s="65" t="n">
        <f aca="false">Usage_Compute!H43*(Assumptions!$C$155*Usage_Compute!H11+Assumptions!$C$152*IF(Revenue!H15=0,0,Revenue!H22/Revenue!H15))/(Assumptions!$C$153*Usage_Compute!H9+Assumptions!$C$154*Usage_Compute!H10+Assumptions!$C$155*Usage_Compute!H11+Assumptions!$C$152)</f>
        <v>4713.97761568307</v>
      </c>
      <c r="I39" s="65" t="n">
        <f aca="false">Usage_Compute!I43*(Assumptions!$C$155*Usage_Compute!I11+Assumptions!$C$152*IF(Revenue!I15=0,0,Revenue!I22/Revenue!I15))/(Assumptions!$C$153*Usage_Compute!I9+Assumptions!$C$154*Usage_Compute!I10+Assumptions!$C$155*Usage_Compute!I11+Assumptions!$C$152)</f>
        <v>4809.81934153474</v>
      </c>
      <c r="J39" s="65" t="n">
        <f aca="false">Usage_Compute!J43*(Assumptions!$C$155*Usage_Compute!J11+Assumptions!$C$152*IF(Revenue!J15=0,0,Revenue!J22/Revenue!J15))/(Assumptions!$C$153*Usage_Compute!J9+Assumptions!$C$154*Usage_Compute!J10+Assumptions!$C$155*Usage_Compute!J11+Assumptions!$C$152)</f>
        <v>5021.24482361878</v>
      </c>
      <c r="K39" s="65" t="n">
        <f aca="false">Usage_Compute!K43*(Assumptions!$C$155*Usage_Compute!K11+Assumptions!$C$152*IF(Revenue!K15=0,0,Revenue!K22/Revenue!K15))/(Assumptions!$C$153*Usage_Compute!K9+Assumptions!$C$154*Usage_Compute!K10+Assumptions!$C$155*Usage_Compute!K11+Assumptions!$C$152)</f>
        <v>5395.90128053525</v>
      </c>
      <c r="L39" s="65" t="n">
        <f aca="false">Usage_Compute!L43*(Assumptions!$C$155*Usage_Compute!L11+Assumptions!$C$152*IF(Revenue!L15=0,0,Revenue!L22/Revenue!L15))/(Assumptions!$C$153*Usage_Compute!L9+Assumptions!$C$154*Usage_Compute!L10+Assumptions!$C$155*Usage_Compute!L11+Assumptions!$C$152)</f>
        <v>5340.16997853382</v>
      </c>
      <c r="M39" s="65" t="n">
        <f aca="false">Usage_Compute!M43*(Assumptions!$C$155*Usage_Compute!M11+Assumptions!$C$152*IF(Revenue!M15=0,0,Revenue!M22/Revenue!M15))/(Assumptions!$C$153*Usage_Compute!M9+Assumptions!$C$154*Usage_Compute!M10+Assumptions!$C$155*Usage_Compute!M11+Assumptions!$C$152)</f>
        <v>5061.94422226801</v>
      </c>
      <c r="N39" s="65" t="n">
        <f aca="false">Usage_Compute!N43*(Assumptions!$C$155*Usage_Compute!N11+Assumptions!$C$152*IF(Revenue!N15=0,0,Revenue!N22/Revenue!N15))/(Assumptions!$C$153*Usage_Compute!N9+Assumptions!$C$154*Usage_Compute!N10+Assumptions!$C$155*Usage_Compute!N11+Assumptions!$C$152)</f>
        <v>5090.78980323021</v>
      </c>
      <c r="O39" s="65" t="n">
        <f aca="false">Usage_Compute!O43*(Assumptions!$C$155*Usage_Compute!O11+Assumptions!$C$152*IF(Revenue!O15=0,0,Revenue!O22/Revenue!O15))/(Assumptions!$C$153*Usage_Compute!O9+Assumptions!$C$154*Usage_Compute!O10+Assumptions!$C$155*Usage_Compute!O11+Assumptions!$C$152)</f>
        <v>5091.71998473487</v>
      </c>
      <c r="P39" s="65" t="n">
        <f aca="false">Usage_Compute!P43*(Assumptions!$C$155*Usage_Compute!P11+Assumptions!$C$152*IF(Revenue!P15=0,0,Revenue!P22/Revenue!P15))/(Assumptions!$C$153*Usage_Compute!P9+Assumptions!$C$154*Usage_Compute!P10+Assumptions!$C$155*Usage_Compute!P11+Assumptions!$C$152)</f>
        <v>5127.61421440756</v>
      </c>
      <c r="Q39" s="65" t="n">
        <f aca="false">Usage_Compute!Q43*(Assumptions!$C$155*Usage_Compute!Q11+Assumptions!$C$152*IF(Revenue!Q15=0,0,Revenue!Q22/Revenue!Q15))/(Assumptions!$C$153*Usage_Compute!Q9+Assumptions!$C$154*Usage_Compute!Q10+Assumptions!$C$155*Usage_Compute!Q11+Assumptions!$C$152)</f>
        <v>5164.31309004856</v>
      </c>
      <c r="R39" s="65" t="n">
        <f aca="false">Usage_Compute!R43*(Assumptions!$C$155*Usage_Compute!R11+Assumptions!$C$152*IF(Revenue!R15=0,0,Revenue!R22/Revenue!R15))/(Assumptions!$C$153*Usage_Compute!R9+Assumptions!$C$154*Usage_Compute!R10+Assumptions!$C$155*Usage_Compute!R11+Assumptions!$C$152)</f>
        <v>5249.11450241681</v>
      </c>
      <c r="S39" s="65" t="n">
        <f aca="false">Usage_Compute!S43*(Assumptions!$C$155*Usage_Compute!S11+Assumptions!$C$152*IF(Revenue!S15=0,0,Revenue!S22/Revenue!S15))/(Assumptions!$C$153*Usage_Compute!S9+Assumptions!$C$154*Usage_Compute!S10+Assumptions!$C$155*Usage_Compute!S11+Assumptions!$C$152)</f>
        <v>5279.44513573749</v>
      </c>
      <c r="T39" s="65" t="n">
        <f aca="false">Usage_Compute!T43*(Assumptions!$C$155*Usage_Compute!T11+Assumptions!$C$152*IF(Revenue!T15=0,0,Revenue!T22/Revenue!T15))/(Assumptions!$C$153*Usage_Compute!T9+Assumptions!$C$154*Usage_Compute!T10+Assumptions!$C$155*Usage_Compute!T11+Assumptions!$C$152)</f>
        <v>5276.72036729349</v>
      </c>
      <c r="U39" s="65" t="n">
        <f aca="false">Usage_Compute!U43*(Assumptions!$C$155*Usage_Compute!U11+Assumptions!$C$152*IF(Revenue!U15=0,0,Revenue!U22/Revenue!U15))/(Assumptions!$C$153*Usage_Compute!U9+Assumptions!$C$154*Usage_Compute!U10+Assumptions!$C$155*Usage_Compute!U11+Assumptions!$C$152)</f>
        <v>5303.53418902224</v>
      </c>
      <c r="V39" s="65" t="n">
        <f aca="false">Usage_Compute!V43*(Assumptions!$C$155*Usage_Compute!V11+Assumptions!$C$152*IF(Revenue!V15=0,0,Revenue!V22/Revenue!V15))/(Assumptions!$C$153*Usage_Compute!V9+Assumptions!$C$154*Usage_Compute!V10+Assumptions!$C$155*Usage_Compute!V11+Assumptions!$C$152)</f>
        <v>5268.63458004406</v>
      </c>
      <c r="W39" s="65" t="n">
        <f aca="false">Usage_Compute!W43*(Assumptions!$C$155*Usage_Compute!W11+Assumptions!$C$152*IF(Revenue!W15=0,0,Revenue!W22/Revenue!W15))/(Assumptions!$C$153*Usage_Compute!W9+Assumptions!$C$154*Usage_Compute!W10+Assumptions!$C$155*Usage_Compute!W11+Assumptions!$C$152)</f>
        <v>5333.48840470809</v>
      </c>
      <c r="X39" s="65" t="n">
        <f aca="false">Usage_Compute!X43*(Assumptions!$C$155*Usage_Compute!X11+Assumptions!$C$152*IF(Revenue!X15=0,0,Revenue!X22/Revenue!X15))/(Assumptions!$C$153*Usage_Compute!X9+Assumptions!$C$154*Usage_Compute!X10+Assumptions!$C$155*Usage_Compute!X11+Assumptions!$C$152)</f>
        <v>5344.22469699825</v>
      </c>
      <c r="Y39" s="65" t="n">
        <f aca="false">Usage_Compute!Y43*(Assumptions!$C$155*Usage_Compute!Y11+Assumptions!$C$152*IF(Revenue!Y15=0,0,Revenue!Y22/Revenue!Y15))/(Assumptions!$C$153*Usage_Compute!Y9+Assumptions!$C$154*Usage_Compute!Y10+Assumptions!$C$155*Usage_Compute!Y11+Assumptions!$C$152)</f>
        <v>5337.94957669728</v>
      </c>
      <c r="Z39" s="65" t="n">
        <f aca="false">Usage_Compute!Z43*(Assumptions!$C$155*Usage_Compute!Z11+Assumptions!$C$152*IF(Revenue!Z15=0,0,Revenue!Z22/Revenue!Z15))/(Assumptions!$C$153*Usage_Compute!Z9+Assumptions!$C$154*Usage_Compute!Z10+Assumptions!$C$155*Usage_Compute!Z11+Assumptions!$C$152)</f>
        <v>5268.71840561958</v>
      </c>
      <c r="AA39" s="65" t="n">
        <f aca="false">Usage_Compute!AA43*(Assumptions!$C$155*Usage_Compute!AA11+Assumptions!$C$152*IF(Revenue!AA15=0,0,Revenue!AA22/Revenue!AA15))/(Assumptions!$C$153*Usage_Compute!AA9+Assumptions!$C$154*Usage_Compute!AA10+Assumptions!$C$155*Usage_Compute!AA11+Assumptions!$C$152)</f>
        <v>5395.92340877564</v>
      </c>
      <c r="AB39" s="65" t="n">
        <f aca="false">Usage_Compute!AB43*(Assumptions!$C$155*Usage_Compute!AB11+Assumptions!$C$152*IF(Revenue!AB15=0,0,Revenue!AB22/Revenue!AB15))/(Assumptions!$C$153*Usage_Compute!AB9+Assumptions!$C$154*Usage_Compute!AB10+Assumptions!$C$155*Usage_Compute!AB11+Assumptions!$C$152)</f>
        <v>5383.47497129933</v>
      </c>
    </row>
    <row r="40" customFormat="false" ht="15" hidden="false" customHeight="false" outlineLevel="0" collapsed="false">
      <c r="A40" s="58" t="s">
        <v>1050</v>
      </c>
      <c r="B40" s="59"/>
      <c r="C40" s="60" t="n">
        <f aca="false">SUM(E40:P40)</f>
        <v>560697.021548516</v>
      </c>
      <c r="D40" s="60" t="n">
        <f aca="false">SUM(Q40:AB40)</f>
        <v>655111.30448976</v>
      </c>
      <c r="E40" s="60" t="n">
        <f aca="false">E37+E38+E39</f>
        <v>44474.0562486971</v>
      </c>
      <c r="F40" s="60" t="n">
        <f aca="false">F37+F38+F39</f>
        <v>45228.0644244869</v>
      </c>
      <c r="G40" s="60" t="n">
        <f aca="false">G37+G38+G39</f>
        <v>44559.7635413654</v>
      </c>
      <c r="H40" s="60" t="n">
        <f aca="false">H37+H38+H39</f>
        <v>44351.4698968289</v>
      </c>
      <c r="I40" s="60" t="n">
        <f aca="false">I37+I38+I39</f>
        <v>48143.6214108196</v>
      </c>
      <c r="J40" s="60" t="n">
        <f aca="false">J37+J38+J39</f>
        <v>48327.9693308169</v>
      </c>
      <c r="K40" s="60" t="n">
        <f aca="false">K37+K38+K39</f>
        <v>52026.2253169826</v>
      </c>
      <c r="L40" s="60" t="n">
        <f aca="false">L37+L38+L39</f>
        <v>52138.1819770674</v>
      </c>
      <c r="M40" s="60" t="n">
        <f aca="false">M37+M38+M39</f>
        <v>52816.8230562562</v>
      </c>
      <c r="N40" s="60" t="n">
        <f aca="false">N37+N38+N39</f>
        <v>41630.8932622343</v>
      </c>
      <c r="O40" s="60" t="n">
        <f aca="false">O37+O38+O39</f>
        <v>42867.7047479669</v>
      </c>
      <c r="P40" s="60" t="n">
        <f aca="false">P37+P38+P39</f>
        <v>44132.248334994</v>
      </c>
      <c r="Q40" s="60" t="n">
        <f aca="false">Q37+Q38+Q39</f>
        <v>49496.4105318447</v>
      </c>
      <c r="R40" s="60" t="n">
        <f aca="false">R37+R38+R39</f>
        <v>50721.4905068675</v>
      </c>
      <c r="S40" s="60" t="n">
        <f aca="false">S37+S38+S39</f>
        <v>52024.3304426814</v>
      </c>
      <c r="T40" s="60" t="n">
        <f aca="false">T37+T38+T39</f>
        <v>52477.0635265639</v>
      </c>
      <c r="U40" s="60" t="n">
        <f aca="false">U37+U38+U39</f>
        <v>54017.5986840849</v>
      </c>
      <c r="V40" s="60" t="n">
        <f aca="false">V37+V38+V39</f>
        <v>54531.1178928554</v>
      </c>
      <c r="W40" s="60" t="n">
        <f aca="false">W37+W38+W39</f>
        <v>55116.8742314417</v>
      </c>
      <c r="X40" s="60" t="n">
        <f aca="false">X37+X38+X39</f>
        <v>55545.626598581</v>
      </c>
      <c r="Y40" s="60" t="n">
        <f aca="false">Y37+Y38+Y39</f>
        <v>56492.4561400733</v>
      </c>
      <c r="Z40" s="60" t="n">
        <f aca="false">Z37+Z38+Z39</f>
        <v>57301.4821137449</v>
      </c>
      <c r="AA40" s="60" t="n">
        <f aca="false">AA37+AA38+AA39</f>
        <v>58258.0060558018</v>
      </c>
      <c r="AB40" s="60" t="n">
        <f aca="false">AB37+AB38+AB39</f>
        <v>59128.8477652201</v>
      </c>
    </row>
    <row r="41" customFormat="false" ht="15" hidden="false" customHeight="false" outlineLevel="0" collapsed="false">
      <c r="A41" s="28" t="s">
        <v>1051</v>
      </c>
      <c r="B41" s="62"/>
      <c r="C41" s="71" t="n">
        <f aca="false">IF(C35=0,0,C36/C35)</f>
        <v>17.5607642964109</v>
      </c>
      <c r="D41" s="71" t="n">
        <f aca="false">IF(D35=0,0,D36/D35)</f>
        <v>15.5983128754593</v>
      </c>
      <c r="E41" s="113" t="n">
        <f aca="false">IF(E35=0,0,E36/E35)</f>
        <v>17.5209249108793</v>
      </c>
      <c r="F41" s="113" t="n">
        <f aca="false">IF(F35=0,0,F36/F35)</f>
        <v>16.8476270980086</v>
      </c>
      <c r="G41" s="113" t="n">
        <f aca="false">IF(G35=0,0,G36/G35)</f>
        <v>18.2519635431484</v>
      </c>
      <c r="H41" s="113" t="n">
        <f aca="false">IF(H35=0,0,H36/H35)</f>
        <v>16.9794243166983</v>
      </c>
      <c r="I41" s="113" t="n">
        <f aca="false">IF(I35=0,0,I36/I35)</f>
        <v>18.2743333148876</v>
      </c>
      <c r="J41" s="113" t="n">
        <f aca="false">IF(J35=0,0,J36/J35)</f>
        <v>17.9012346309583</v>
      </c>
      <c r="K41" s="113" t="n">
        <f aca="false">IF(K35=0,0,K36/K35)</f>
        <v>17.6960063786178</v>
      </c>
      <c r="L41" s="113" t="n">
        <f aca="false">IF(L35=0,0,L36/L35)</f>
        <v>17.7264900465535</v>
      </c>
      <c r="M41" s="113" t="n">
        <f aca="false">IF(M35=0,0,M36/M35)</f>
        <v>19.8759585727626</v>
      </c>
      <c r="N41" s="113" t="n">
        <f aca="false">IF(N35=0,0,N36/N35)</f>
        <v>16.682252400763</v>
      </c>
      <c r="O41" s="113" t="n">
        <f aca="false">IF(O35=0,0,O36/O35)</f>
        <v>16.6662183461339</v>
      </c>
      <c r="P41" s="113" t="n">
        <f aca="false">IF(P35=0,0,P36/P35)</f>
        <v>16.5130087373756</v>
      </c>
      <c r="Q41" s="113" t="n">
        <f aca="false">IF(Q35=0,0,Q36/Q35)</f>
        <v>15.2814380627268</v>
      </c>
      <c r="R41" s="113" t="n">
        <f aca="false">IF(R35=0,0,R36/R35)</f>
        <v>14.9194344810932</v>
      </c>
      <c r="S41" s="113" t="n">
        <f aca="false">IF(S35=0,0,S36/S35)</f>
        <v>17.3780973585071</v>
      </c>
      <c r="T41" s="113" t="n">
        <f aca="false">IF(T35=0,0,T36/T35)</f>
        <v>14.9242205331674</v>
      </c>
      <c r="U41" s="113" t="n">
        <f aca="false">IF(U35=0,0,U36/U35)</f>
        <v>14.930516345231</v>
      </c>
      <c r="V41" s="113" t="n">
        <f aca="false">IF(V35=0,0,V36/V35)</f>
        <v>17.2204075710232</v>
      </c>
      <c r="W41" s="113" t="n">
        <f aca="false">IF(W35=0,0,W36/W35)</f>
        <v>14.8830824784368</v>
      </c>
      <c r="X41" s="113" t="n">
        <f aca="false">IF(X35=0,0,X36/X35)</f>
        <v>15.1259833538809</v>
      </c>
      <c r="Y41" s="113" t="n">
        <f aca="false">IF(Y35=0,0,Y36/Y35)</f>
        <v>15.9483281880445</v>
      </c>
      <c r="Z41" s="113" t="n">
        <f aca="false">IF(Z35=0,0,Z36/Z35)</f>
        <v>15.8969712493958</v>
      </c>
      <c r="AA41" s="113" t="n">
        <f aca="false">IF(AA35=0,0,AA36/AA35)</f>
        <v>15.7988810073259</v>
      </c>
      <c r="AB41" s="113" t="n">
        <f aca="false">IF(AB35=0,0,AB36/AB35)</f>
        <v>14.8811897651664</v>
      </c>
    </row>
    <row r="42" customFormat="false" ht="15" hidden="false" customHeight="false" outlineLevel="0" collapsed="false">
      <c r="A42" s="28" t="s">
        <v>1052</v>
      </c>
      <c r="B42" s="62"/>
      <c r="C42" s="71" t="n">
        <f aca="false">IF(C35=0,0,C40/C35)</f>
        <v>5.45069709148814</v>
      </c>
      <c r="D42" s="71" t="n">
        <f aca="false">IF(D35=0,0,D40/D35)</f>
        <v>4.38571364723663</v>
      </c>
      <c r="E42" s="113" t="n">
        <f aca="false">IF(E35=0,0,E40/E35)</f>
        <v>5.80161969379544</v>
      </c>
      <c r="F42" s="113" t="n">
        <f aca="false">IF(F35=0,0,F40/F35)</f>
        <v>5.74135071906251</v>
      </c>
      <c r="G42" s="113" t="n">
        <f aca="false">IF(G35=0,0,G40/G35)</f>
        <v>5.9337856769912</v>
      </c>
      <c r="H42" s="113" t="n">
        <f aca="false">IF(H35=0,0,H40/H35)</f>
        <v>5.63250487628317</v>
      </c>
      <c r="I42" s="113" t="n">
        <f aca="false">IF(I35=0,0,I40/I35)</f>
        <v>5.98072267768387</v>
      </c>
      <c r="J42" s="113" t="n">
        <f aca="false">IF(J35=0,0,J40/J35)</f>
        <v>5.77712593908443</v>
      </c>
      <c r="K42" s="113" t="n">
        <f aca="false">IF(K35=0,0,K40/K35)</f>
        <v>5.84439561408043</v>
      </c>
      <c r="L42" s="113" t="n">
        <f aca="false">IF(L35=0,0,L40/L35)</f>
        <v>5.81432130175165</v>
      </c>
      <c r="M42" s="113" t="n">
        <f aca="false">IF(M35=0,0,M40/M35)</f>
        <v>5.83113347033669</v>
      </c>
      <c r="N42" s="113" t="n">
        <f aca="false">IF(N35=0,0,N40/N35)</f>
        <v>4.5149464426566</v>
      </c>
      <c r="O42" s="113" t="n">
        <f aca="false">IF(O35=0,0,O40/O35)</f>
        <v>4.49648908835328</v>
      </c>
      <c r="P42" s="113" t="n">
        <f aca="false">IF(P35=0,0,P40/P35)</f>
        <v>4.48333377190852</v>
      </c>
      <c r="Q42" s="113" t="n">
        <f aca="false">IF(Q35=0,0,Q40/Q35)</f>
        <v>4.42360104389232</v>
      </c>
      <c r="R42" s="113" t="n">
        <f aca="false">IF(R35=0,0,R40/R35)</f>
        <v>4.41856769795847</v>
      </c>
      <c r="S42" s="113" t="n">
        <f aca="false">IF(S35=0,0,S40/S35)</f>
        <v>4.40912900840612</v>
      </c>
      <c r="T42" s="113" t="n">
        <f aca="false">IF(T35=0,0,T40/T35)</f>
        <v>4.40331301063093</v>
      </c>
      <c r="U42" s="113" t="n">
        <f aca="false">IF(U35=0,0,U40/U35)</f>
        <v>4.39175061627417</v>
      </c>
      <c r="V42" s="113" t="n">
        <f aca="false">IF(V35=0,0,V40/V35)</f>
        <v>4.38388032118928</v>
      </c>
      <c r="W42" s="113" t="n">
        <f aca="false">IF(W35=0,0,W40/W35)</f>
        <v>4.38377336291356</v>
      </c>
      <c r="X42" s="113" t="n">
        <f aca="false">IF(X35=0,0,X40/X35)</f>
        <v>4.38102047118965</v>
      </c>
      <c r="Y42" s="113" t="n">
        <f aca="false">IF(Y35=0,0,Y40/Y35)</f>
        <v>4.37236461173346</v>
      </c>
      <c r="Z42" s="113" t="n">
        <f aca="false">IF(Z35=0,0,Z40/Z35)</f>
        <v>4.35926141326219</v>
      </c>
      <c r="AA42" s="113" t="n">
        <f aca="false">IF(AA35=0,0,AA40/AA35)</f>
        <v>4.36221331014045</v>
      </c>
      <c r="AB42" s="113" t="n">
        <f aca="false">IF(AB35=0,0,AB40/AB35)</f>
        <v>4.35473654381824</v>
      </c>
    </row>
    <row r="43" customFormat="false" ht="15" hidden="false" customHeight="false" outlineLevel="0" collapsed="false">
      <c r="A43" s="28" t="s">
        <v>1053</v>
      </c>
      <c r="B43" s="62"/>
      <c r="C43" s="71" t="n">
        <f aca="false">IF(C35=0,0,C37/C35)</f>
        <v>0.0385257527920661</v>
      </c>
      <c r="D43" s="71" t="n">
        <f aca="false">IF(D35=0,0,D37/D35)</f>
        <v>0.0342255481059958</v>
      </c>
      <c r="E43" s="113" t="n">
        <f aca="false">IF(E35=0,0,E37/E35)</f>
        <v>0.0415302522819259</v>
      </c>
      <c r="F43" s="113" t="n">
        <f aca="false">IF(F35=0,0,F37/F35)</f>
        <v>0.038854557559535</v>
      </c>
      <c r="G43" s="113" t="n">
        <f aca="false">IF(G35=0,0,G37/G35)</f>
        <v>0.0412347152268467</v>
      </c>
      <c r="H43" s="113" t="n">
        <f aca="false">IF(H35=0,0,H37/H35)</f>
        <v>0.0388225615933869</v>
      </c>
      <c r="I43" s="113" t="n">
        <f aca="false">IF(I35=0,0,I37/I35)</f>
        <v>0.0390309212093668</v>
      </c>
      <c r="J43" s="113" t="n">
        <f aca="false">IF(J35=0,0,J37/J35)</f>
        <v>0.0391100790302633</v>
      </c>
      <c r="K43" s="113" t="n">
        <f aca="false">IF(K35=0,0,K37/K35)</f>
        <v>0.0384919098027668</v>
      </c>
      <c r="L43" s="113" t="n">
        <f aca="false">IF(L35=0,0,L37/L35)</f>
        <v>0.037905917313819</v>
      </c>
      <c r="M43" s="113" t="n">
        <f aca="false">IF(M35=0,0,M37/M35)</f>
        <v>0.0380479811055099</v>
      </c>
      <c r="N43" s="113" t="n">
        <f aca="false">IF(N35=0,0,N37/N35)</f>
        <v>0.0371670792022562</v>
      </c>
      <c r="O43" s="113" t="n">
        <f aca="false">IF(O35=0,0,O37/O35)</f>
        <v>0.0367333241114195</v>
      </c>
      <c r="P43" s="113" t="n">
        <f aca="false">IF(P35=0,0,P37/P35)</f>
        <v>0.0367526630388568</v>
      </c>
      <c r="Q43" s="113" t="n">
        <f aca="false">IF(Q35=0,0,Q37/Q35)</f>
        <v>0.036381328859345</v>
      </c>
      <c r="R43" s="113" t="n">
        <f aca="false">IF(R35=0,0,R37/R35)</f>
        <v>0.0356207974117989</v>
      </c>
      <c r="S43" s="113" t="n">
        <f aca="false">IF(S35=0,0,S37/S35)</f>
        <v>0.0360153262736538</v>
      </c>
      <c r="T43" s="113" t="n">
        <f aca="false">IF(T35=0,0,T37/T35)</f>
        <v>0.0348732569180172</v>
      </c>
      <c r="U43" s="113" t="n">
        <f aca="false">IF(U35=0,0,U37/U35)</f>
        <v>0.0348876129499112</v>
      </c>
      <c r="V43" s="113" t="n">
        <f aca="false">IF(V35=0,0,V37/V35)</f>
        <v>0.0346489232226749</v>
      </c>
      <c r="W43" s="113" t="n">
        <f aca="false">IF(W35=0,0,W37/W35)</f>
        <v>0.0338953488136967</v>
      </c>
      <c r="X43" s="113" t="n">
        <f aca="false">IF(X35=0,0,X37/X35)</f>
        <v>0.0338343902599523</v>
      </c>
      <c r="Y43" s="113" t="n">
        <f aca="false">IF(Y35=0,0,Y37/Y35)</f>
        <v>0.0335477217039718</v>
      </c>
      <c r="Z43" s="113" t="n">
        <f aca="false">IF(Z35=0,0,Z37/Z35)</f>
        <v>0.0327650490409236</v>
      </c>
      <c r="AA43" s="113" t="n">
        <f aca="false">IF(AA35=0,0,AA37/AA35)</f>
        <v>0.0325061976039818</v>
      </c>
      <c r="AB43" s="113" t="n">
        <f aca="false">IF(AB35=0,0,AB37/AB35)</f>
        <v>0.0325790911846173</v>
      </c>
    </row>
    <row r="44" customFormat="false" ht="15" hidden="false" customHeight="false" outlineLevel="0" collapsed="false">
      <c r="A44" s="28" t="s">
        <v>1054</v>
      </c>
      <c r="B44" s="62"/>
      <c r="C44" s="71" t="n">
        <f aca="false">IF(C35=0,0,C38/C35)</f>
        <v>4.82587836669828</v>
      </c>
      <c r="D44" s="71" t="n">
        <f aca="false">IF(D35=0,0,D38/D35)</f>
        <v>3.9256739073541</v>
      </c>
      <c r="E44" s="113" t="n">
        <f aca="false">IF(E35=0,0,E38/E35)</f>
        <v>5.10415729012727</v>
      </c>
      <c r="F44" s="113" t="n">
        <f aca="false">IF(F35=0,0,F38/F35)</f>
        <v>5.07258591031064</v>
      </c>
      <c r="G44" s="113" t="n">
        <f aca="false">IF(G35=0,0,G38/G35)</f>
        <v>5.27112345953362</v>
      </c>
      <c r="H44" s="113" t="n">
        <f aca="false">IF(H35=0,0,H38/H35)</f>
        <v>4.99502116616891</v>
      </c>
      <c r="I44" s="113" t="n">
        <f aca="false">IF(I35=0,0,I38/I35)</f>
        <v>5.34418382565203</v>
      </c>
      <c r="J44" s="113" t="n">
        <f aca="false">IF(J35=0,0,J38/J35)</f>
        <v>5.13777620341864</v>
      </c>
      <c r="K44" s="113" t="n">
        <f aca="false">IF(K35=0,0,K38/K35)</f>
        <v>5.19975206467991</v>
      </c>
      <c r="L44" s="113" t="n">
        <f aca="false">IF(L35=0,0,L38/L35)</f>
        <v>5.18089281568351</v>
      </c>
      <c r="M44" s="113" t="n">
        <f aca="false">IF(M35=0,0,M38/M35)</f>
        <v>5.23423187647213</v>
      </c>
      <c r="N44" s="113" t="n">
        <f aca="false">IF(N35=0,0,N38/N35)</f>
        <v>3.9256739073541</v>
      </c>
      <c r="O44" s="113" t="n">
        <f aca="false">IF(O35=0,0,O38/O35)</f>
        <v>3.9256739073541</v>
      </c>
      <c r="P44" s="113" t="n">
        <f aca="false">IF(P35=0,0,P38/P35)</f>
        <v>3.9256739073541</v>
      </c>
      <c r="Q44" s="113" t="n">
        <f aca="false">IF(Q35=0,0,Q38/Q35)</f>
        <v>3.9256739073541</v>
      </c>
      <c r="R44" s="113" t="n">
        <f aca="false">IF(R35=0,0,R38/R35)</f>
        <v>3.92567390735409</v>
      </c>
      <c r="S44" s="113" t="n">
        <f aca="false">IF(S35=0,0,S38/S35)</f>
        <v>3.9256739073541</v>
      </c>
      <c r="T44" s="113" t="n">
        <f aca="false">IF(T35=0,0,T38/T35)</f>
        <v>3.92567390735409</v>
      </c>
      <c r="U44" s="113" t="n">
        <f aca="false">IF(U35=0,0,U38/U35)</f>
        <v>3.9256739073541</v>
      </c>
      <c r="V44" s="113" t="n">
        <f aca="false">IF(V35=0,0,V38/V35)</f>
        <v>3.9256739073541</v>
      </c>
      <c r="W44" s="113" t="n">
        <f aca="false">IF(W35=0,0,W38/W35)</f>
        <v>3.9256739073541</v>
      </c>
      <c r="X44" s="113" t="n">
        <f aca="false">IF(X35=0,0,X38/X35)</f>
        <v>3.9256739073541</v>
      </c>
      <c r="Y44" s="113" t="n">
        <f aca="false">IF(Y35=0,0,Y38/Y35)</f>
        <v>3.92567390735409</v>
      </c>
      <c r="Z44" s="113" t="n">
        <f aca="false">IF(Z35=0,0,Z38/Z35)</f>
        <v>3.9256739073541</v>
      </c>
      <c r="AA44" s="113" t="n">
        <f aca="false">IF(AA35=0,0,AA38/AA35)</f>
        <v>3.92567390735409</v>
      </c>
      <c r="AB44" s="113" t="n">
        <f aca="false">IF(AB35=0,0,AB38/AB35)</f>
        <v>3.9256739073541</v>
      </c>
    </row>
    <row r="45" customFormat="false" ht="15" hidden="false" customHeight="false" outlineLevel="0" collapsed="false">
      <c r="A45" s="28" t="s">
        <v>1055</v>
      </c>
      <c r="B45" s="62"/>
      <c r="C45" s="66" t="n">
        <f aca="false">IF(C36=0,0,C40/C36)</f>
        <v>0.310390652678037</v>
      </c>
      <c r="D45" s="66" t="n">
        <f aca="false">IF(D36=0,0,D40/D36)</f>
        <v>0.281165898020717</v>
      </c>
      <c r="E45" s="75" t="n">
        <f aca="false">IF(E36=0,0,E40/E36)</f>
        <v>0.331125195918912</v>
      </c>
      <c r="F45" s="75" t="n">
        <f aca="false">IF(F36=0,0,F40/F36)</f>
        <v>0.340780970855008</v>
      </c>
      <c r="G45" s="75" t="n">
        <f aca="false">IF(G36=0,0,G40/G36)</f>
        <v>0.32510396281274</v>
      </c>
      <c r="H45" s="75" t="n">
        <f aca="false">IF(H36=0,0,H40/H36)</f>
        <v>0.331725314782547</v>
      </c>
      <c r="I45" s="75" t="n">
        <f aca="false">IF(I36=0,0,I40/I36)</f>
        <v>0.32727446602999</v>
      </c>
      <c r="J45" s="75" t="n">
        <f aca="false">IF(J36=0,0,J40/J36)</f>
        <v>0.322722206494825</v>
      </c>
      <c r="K45" s="75" t="n">
        <f aca="false">IF(K36=0,0,K40/K36)</f>
        <v>0.330266360049589</v>
      </c>
      <c r="L45" s="75" t="n">
        <f aca="false">IF(L36=0,0,L40/L36)</f>
        <v>0.328001837164719</v>
      </c>
      <c r="M45" s="75" t="n">
        <f aca="false">IF(M36=0,0,M40/M36)</f>
        <v>0.293376213730265</v>
      </c>
      <c r="N45" s="75" t="n">
        <f aca="false">IF(N36=0,0,N40/N36)</f>
        <v>0.270643695718816</v>
      </c>
      <c r="O45" s="75" t="n">
        <f aca="false">IF(O36=0,0,O40/O36)</f>
        <v>0.269796602622594</v>
      </c>
      <c r="P45" s="75" t="n">
        <f aca="false">IF(P36=0,0,P40/P36)</f>
        <v>0.271503142959098</v>
      </c>
      <c r="Q45" s="75" t="n">
        <f aca="false">IF(Q36=0,0,Q40/Q36)</f>
        <v>0.289475442411535</v>
      </c>
      <c r="R45" s="75" t="n">
        <f aca="false">IF(R36=0,0,R40/R36)</f>
        <v>0.2961618755428</v>
      </c>
      <c r="S45" s="75" t="n">
        <f aca="false">IF(S36=0,0,S40/S36)</f>
        <v>0.253717591600885</v>
      </c>
      <c r="T45" s="75" t="n">
        <f aca="false">IF(T36=0,0,T40/T36)</f>
        <v>0.295044756330494</v>
      </c>
      <c r="U45" s="75" t="n">
        <f aca="false">IF(U36=0,0,U40/U36)</f>
        <v>0.294145930035229</v>
      </c>
      <c r="V45" s="75" t="n">
        <f aca="false">IF(V36=0,0,V40/V36)</f>
        <v>0.254574713351503</v>
      </c>
      <c r="W45" s="75" t="n">
        <f aca="false">IF(W36=0,0,W40/W36)</f>
        <v>0.294547407720475</v>
      </c>
      <c r="X45" s="75" t="n">
        <f aca="false">IF(X36=0,0,X40/X36)</f>
        <v>0.289635415344128</v>
      </c>
      <c r="Y45" s="75" t="n">
        <f aca="false">IF(Y36=0,0,Y40/Y36)</f>
        <v>0.274158178849816</v>
      </c>
      <c r="Z45" s="75" t="n">
        <f aca="false">IF(Z36=0,0,Z40/Z36)</f>
        <v>0.274219619880603</v>
      </c>
      <c r="AA45" s="75" t="n">
        <f aca="false">IF(AA36=0,0,AA40/AA36)</f>
        <v>0.27610900468949</v>
      </c>
      <c r="AB45" s="75" t="n">
        <f aca="false">IF(AB36=0,0,AB40/AB36)</f>
        <v>0.292633627588819</v>
      </c>
    </row>
    <row r="46" customFormat="false" ht="15" hidden="false" customHeight="false" outlineLevel="0" collapsed="false">
      <c r="A46" s="28" t="s">
        <v>1056</v>
      </c>
      <c r="B46" s="62"/>
      <c r="C46" s="71" t="n">
        <f aca="false">C41-C42</f>
        <v>12.1100672049227</v>
      </c>
      <c r="D46" s="71" t="n">
        <f aca="false">D41-D42</f>
        <v>11.2125992282227</v>
      </c>
      <c r="E46" s="113" t="n">
        <f aca="false">E41-E42</f>
        <v>11.7193052170838</v>
      </c>
      <c r="F46" s="113" t="n">
        <f aca="false">F41-F42</f>
        <v>11.1062763789461</v>
      </c>
      <c r="G46" s="113" t="n">
        <f aca="false">G41-G42</f>
        <v>12.3181778661572</v>
      </c>
      <c r="H46" s="113" t="n">
        <f aca="false">H41-H42</f>
        <v>11.3469194404151</v>
      </c>
      <c r="I46" s="113" t="n">
        <f aca="false">I41-I42</f>
        <v>12.2936106372037</v>
      </c>
      <c r="J46" s="113" t="n">
        <f aca="false">J41-J42</f>
        <v>12.1241086918738</v>
      </c>
      <c r="K46" s="113" t="n">
        <f aca="false">K41-K42</f>
        <v>11.8516107645374</v>
      </c>
      <c r="L46" s="113" t="n">
        <f aca="false">L41-L42</f>
        <v>11.9121687448018</v>
      </c>
      <c r="M46" s="113" t="n">
        <f aca="false">M41-M42</f>
        <v>14.0448251024259</v>
      </c>
      <c r="N46" s="113" t="n">
        <f aca="false">N41-N42</f>
        <v>12.1673059581064</v>
      </c>
      <c r="O46" s="113" t="n">
        <f aca="false">O41-O42</f>
        <v>12.1697292577806</v>
      </c>
      <c r="P46" s="113" t="n">
        <f aca="false">P41-P42</f>
        <v>12.029674965467</v>
      </c>
      <c r="Q46" s="113" t="n">
        <f aca="false">Q41-Q42</f>
        <v>10.8578370188345</v>
      </c>
      <c r="R46" s="113" t="n">
        <f aca="false">R41-R42</f>
        <v>10.5008667831347</v>
      </c>
      <c r="S46" s="113" t="n">
        <f aca="false">S41-S42</f>
        <v>12.968968350101</v>
      </c>
      <c r="T46" s="113" t="n">
        <f aca="false">T41-T42</f>
        <v>10.5209075225365</v>
      </c>
      <c r="U46" s="113" t="n">
        <f aca="false">U41-U42</f>
        <v>10.5387657289569</v>
      </c>
      <c r="V46" s="113" t="n">
        <f aca="false">V41-V42</f>
        <v>12.8365272498339</v>
      </c>
      <c r="W46" s="113" t="n">
        <f aca="false">W41-W42</f>
        <v>10.4993091155232</v>
      </c>
      <c r="X46" s="113" t="n">
        <f aca="false">X41-X42</f>
        <v>10.7449628826912</v>
      </c>
      <c r="Y46" s="113" t="n">
        <f aca="false">Y41-Y42</f>
        <v>11.575963576311</v>
      </c>
      <c r="Z46" s="113" t="n">
        <f aca="false">Z41-Z42</f>
        <v>11.5377098361336</v>
      </c>
      <c r="AA46" s="113" t="n">
        <f aca="false">AA41-AA42</f>
        <v>11.4366676971855</v>
      </c>
      <c r="AB46" s="113" t="n">
        <f aca="false">AB41-AB42</f>
        <v>10.5264532213481</v>
      </c>
    </row>
    <row r="47" customFormat="false" ht="15" hidden="false" customHeight="false" outlineLevel="0" collapsed="false">
      <c r="A47" s="22" t="s">
        <v>1061</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false" outlineLevel="0" collapsed="false">
      <c r="A48" s="28" t="s">
        <v>1062</v>
      </c>
      <c r="B48" s="62"/>
      <c r="C48" s="64" t="n">
        <f aca="false">SUM(E48:P48)</f>
        <v>0</v>
      </c>
      <c r="D48" s="64" t="n">
        <f aca="false">SUM(Q48:AB48)</f>
        <v>0</v>
      </c>
      <c r="E48" s="65" t="n">
        <f aca="false">ROUND(E14+E27+E40-Usage_Compute!E46,2)</f>
        <v>0</v>
      </c>
      <c r="F48" s="65" t="n">
        <f aca="false">ROUND(F14+F27+F40-Usage_Compute!F46,2)</f>
        <v>0</v>
      </c>
      <c r="G48" s="65" t="n">
        <f aca="false">ROUND(G14+G27+G40-Usage_Compute!G46,2)</f>
        <v>0</v>
      </c>
      <c r="H48" s="65" t="n">
        <f aca="false">ROUND(H14+H27+H40-Usage_Compute!H46,2)</f>
        <v>0</v>
      </c>
      <c r="I48" s="65" t="n">
        <f aca="false">ROUND(I14+I27+I40-Usage_Compute!I46,2)</f>
        <v>0</v>
      </c>
      <c r="J48" s="65" t="n">
        <f aca="false">ROUND(J14+J27+J40-Usage_Compute!J46,2)</f>
        <v>0</v>
      </c>
      <c r="K48" s="65" t="n">
        <f aca="false">ROUND(K14+K27+K40-Usage_Compute!K46,2)</f>
        <v>0</v>
      </c>
      <c r="L48" s="65" t="n">
        <f aca="false">ROUND(L14+L27+L40-Usage_Compute!L46,2)</f>
        <v>0</v>
      </c>
      <c r="M48" s="65" t="n">
        <f aca="false">ROUND(M14+M27+M40-Usage_Compute!M46,2)</f>
        <v>0</v>
      </c>
      <c r="N48" s="65" t="n">
        <f aca="false">ROUND(N14+N27+N40-Usage_Compute!N46,2)</f>
        <v>0</v>
      </c>
      <c r="O48" s="65" t="n">
        <f aca="false">ROUND(O14+O27+O40-Usage_Compute!O46,2)</f>
        <v>0</v>
      </c>
      <c r="P48" s="65" t="n">
        <f aca="false">ROUND(P14+P27+P40-Usage_Compute!P46,2)</f>
        <v>0</v>
      </c>
      <c r="Q48" s="65" t="n">
        <f aca="false">ROUND(Q14+Q27+Q40-Usage_Compute!Q46,2)</f>
        <v>0</v>
      </c>
      <c r="R48" s="65" t="n">
        <f aca="false">ROUND(R14+R27+R40-Usage_Compute!R46,2)</f>
        <v>0</v>
      </c>
      <c r="S48" s="65" t="n">
        <f aca="false">ROUND(S14+S27+S40-Usage_Compute!S46,2)</f>
        <v>0</v>
      </c>
      <c r="T48" s="65" t="n">
        <f aca="false">ROUND(T14+T27+T40-Usage_Compute!T46,2)</f>
        <v>0</v>
      </c>
      <c r="U48" s="65" t="n">
        <f aca="false">ROUND(U14+U27+U40-Usage_Compute!U46,2)</f>
        <v>0</v>
      </c>
      <c r="V48" s="65" t="n">
        <f aca="false">ROUND(V14+V27+V40-Usage_Compute!V46,2)</f>
        <v>0</v>
      </c>
      <c r="W48" s="65" t="n">
        <f aca="false">ROUND(W14+W27+W40-Usage_Compute!W46,2)</f>
        <v>0</v>
      </c>
      <c r="X48" s="65" t="n">
        <f aca="false">ROUND(X14+X27+X40-Usage_Compute!X46,2)</f>
        <v>0</v>
      </c>
      <c r="Y48" s="65" t="n">
        <f aca="false">ROUND(Y14+Y27+Y40-Usage_Compute!Y46,2)</f>
        <v>0</v>
      </c>
      <c r="Z48" s="65" t="n">
        <f aca="false">ROUND(Z14+Z27+Z40-Usage_Compute!Z46,2)</f>
        <v>0</v>
      </c>
      <c r="AA48" s="65" t="n">
        <f aca="false">ROUND(AA14+AA27+AA40-Usage_Compute!AA46,2)</f>
        <v>0</v>
      </c>
      <c r="AB48" s="65" t="n">
        <f aca="false">ROUND(AB14+AB27+AB40-Usage_Compute!AB46,2)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1063</v>
      </c>
    </row>
    <row r="3" customFormat="false" ht="15" hidden="false" customHeight="false" outlineLevel="0" collapsed="false">
      <c r="A3" s="49" t="s">
        <v>1064</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1065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44</v>
      </c>
      <c r="B9" s="62" t="s">
        <v>44</v>
      </c>
      <c r="C9" s="64" t="n">
        <f aca="false">SUM(E9:P9)</f>
        <v>2878561.65684007</v>
      </c>
      <c r="D9" s="64" t="n">
        <f aca="false">SUM(Q9:AB9)</f>
        <v>3799161.83576348</v>
      </c>
      <c r="E9" s="65" t="n">
        <f aca="false">Revenue!E20</f>
        <v>218187.834454545</v>
      </c>
      <c r="F9" s="65" t="n">
        <f aca="false">Revenue!F20</f>
        <v>204416.263818182</v>
      </c>
      <c r="G9" s="65" t="n">
        <f aca="false">Revenue!G20</f>
        <v>217312.087818182</v>
      </c>
      <c r="H9" s="65" t="n">
        <f aca="false">Revenue!H20</f>
        <v>215333.946636364</v>
      </c>
      <c r="I9" s="65" t="n">
        <f aca="false">Revenue!I20</f>
        <v>229047.308045455</v>
      </c>
      <c r="J9" s="65" t="n">
        <f aca="false">Revenue!J20</f>
        <v>253228.343454545</v>
      </c>
      <c r="K9" s="65" t="n">
        <f aca="false">Revenue!K20</f>
        <v>241381.616954546</v>
      </c>
      <c r="L9" s="65" t="n">
        <f aca="false">Revenue!L20</f>
        <v>237619.323363636</v>
      </c>
      <c r="M9" s="65" t="n">
        <f aca="false">Revenue!M20</f>
        <v>303373.565391272</v>
      </c>
      <c r="N9" s="65" t="n">
        <f aca="false">Revenue!N20</f>
        <v>243971.966369079</v>
      </c>
      <c r="O9" s="65" t="n">
        <f aca="false">Revenue!O20</f>
        <v>254362.81732459</v>
      </c>
      <c r="P9" s="65" t="n">
        <f aca="false">Revenue!P20</f>
        <v>260326.583209674</v>
      </c>
      <c r="Q9" s="65" t="n">
        <f aca="false">Revenue!Q20</f>
        <v>282210.016140078</v>
      </c>
      <c r="R9" s="65" t="n">
        <f aca="false">Revenue!R20</f>
        <v>276262.663058634</v>
      </c>
      <c r="S9" s="65" t="n">
        <f aca="false">Revenue!S20</f>
        <v>337526.801154481</v>
      </c>
      <c r="T9" s="65" t="n">
        <f aca="false">Revenue!T20</f>
        <v>287259.394775649</v>
      </c>
      <c r="U9" s="65" t="n">
        <f aca="false">Revenue!U20</f>
        <v>297502.154071043</v>
      </c>
      <c r="V9" s="65" t="n">
        <f aca="false">Revenue!V20</f>
        <v>331010.163671025</v>
      </c>
      <c r="W9" s="65" t="n">
        <f aca="false">Revenue!W20</f>
        <v>302674.414986241</v>
      </c>
      <c r="X9" s="65" t="n">
        <f aca="false">Revenue!X20</f>
        <v>306941.641052127</v>
      </c>
      <c r="Y9" s="65" t="n">
        <f aca="false">Revenue!Y20</f>
        <v>344667.093409854</v>
      </c>
      <c r="Z9" s="65" t="n">
        <f aca="false">Revenue!Z20</f>
        <v>352610.929700349</v>
      </c>
      <c r="AA9" s="65" t="n">
        <f aca="false">Revenue!AA20</f>
        <v>349504.198298336</v>
      </c>
      <c r="AB9" s="65" t="n">
        <f aca="false">Revenue!AB20</f>
        <v>330992.365445667</v>
      </c>
    </row>
    <row r="10" customFormat="false" ht="15" hidden="false" customHeight="false" outlineLevel="0" collapsed="false">
      <c r="A10" s="28" t="s">
        <v>1066</v>
      </c>
      <c r="B10" s="62" t="s">
        <v>57</v>
      </c>
      <c r="C10" s="64" t="n">
        <f aca="false">SUM(E10:P10)</f>
        <v>-380028.085837124</v>
      </c>
      <c r="D10" s="64" t="n">
        <f aca="false">SUM(Q10:AB10)</f>
        <v>-507635.388708922</v>
      </c>
      <c r="E10" s="65" t="n">
        <f aca="false">-Unit_Costs!E14</f>
        <v>-29218.7432475684</v>
      </c>
      <c r="F10" s="65" t="n">
        <f aca="false">-Unit_Costs!F14</f>
        <v>-28593.8973296888</v>
      </c>
      <c r="G10" s="65" t="n">
        <f aca="false">-Unit_Costs!G14</f>
        <v>-28374.4553884883</v>
      </c>
      <c r="H10" s="65" t="n">
        <f aca="false">-Unit_Costs!H14</f>
        <v>-29548.2926672497</v>
      </c>
      <c r="I10" s="65" t="n">
        <f aca="false">-Unit_Costs!I14</f>
        <v>-29882.1958557586</v>
      </c>
      <c r="J10" s="65" t="n">
        <f aca="false">-Unit_Costs!J14</f>
        <v>-32083.518682219</v>
      </c>
      <c r="K10" s="65" t="n">
        <f aca="false">-Unit_Costs!K14</f>
        <v>-33258.7296676691</v>
      </c>
      <c r="L10" s="65" t="n">
        <f aca="false">-Unit_Costs!L14</f>
        <v>-32832.4159138208</v>
      </c>
      <c r="M10" s="65" t="n">
        <f aca="false">-Unit_Costs!M14</f>
        <v>-33389.3423593671</v>
      </c>
      <c r="N10" s="65" t="n">
        <f aca="false">-Unit_Costs!N14</f>
        <v>-33238.5993506506</v>
      </c>
      <c r="O10" s="65" t="n">
        <f aca="false">-Unit_Costs!O14</f>
        <v>-34299.4906207419</v>
      </c>
      <c r="P10" s="65" t="n">
        <f aca="false">-Unit_Costs!P14</f>
        <v>-35308.4047539023</v>
      </c>
      <c r="Q10" s="65" t="n">
        <f aca="false">-Unit_Costs!Q14</f>
        <v>-39222.6961635292</v>
      </c>
      <c r="R10" s="65" t="n">
        <f aca="false">-Unit_Costs!R14</f>
        <v>-39840.1939400735</v>
      </c>
      <c r="S10" s="65" t="n">
        <f aca="false">-Unit_Costs!S14</f>
        <v>-40989.983365904</v>
      </c>
      <c r="T10" s="65" t="n">
        <f aca="false">-Unit_Costs!T14</f>
        <v>-40860.7132715654</v>
      </c>
      <c r="U10" s="65" t="n">
        <f aca="false">-Unit_Costs!U14</f>
        <v>-41961.0843448831</v>
      </c>
      <c r="V10" s="65" t="n">
        <f aca="false">-Unit_Costs!V14</f>
        <v>-41810.1246373397</v>
      </c>
      <c r="W10" s="65" t="n">
        <f aca="false">-Unit_Costs!W14</f>
        <v>-42412.9337293982</v>
      </c>
      <c r="X10" s="65" t="n">
        <f aca="false">-Unit_Costs!X14</f>
        <v>-42732.051188477</v>
      </c>
      <c r="Y10" s="65" t="n">
        <f aca="false">-Unit_Costs!Y14</f>
        <v>-43766.1515626238</v>
      </c>
      <c r="Z10" s="65" t="n">
        <f aca="false">-Unit_Costs!Z14</f>
        <v>-44078.3166506435</v>
      </c>
      <c r="AA10" s="65" t="n">
        <f aca="false">-Unit_Costs!AA14</f>
        <v>-44694.7093135346</v>
      </c>
      <c r="AB10" s="65" t="n">
        <f aca="false">-Unit_Costs!AB14</f>
        <v>-45266.4305409501</v>
      </c>
    </row>
    <row r="11" customFormat="false" ht="15" hidden="false" customHeight="false" outlineLevel="0" collapsed="false">
      <c r="A11" s="28" t="s">
        <v>1067</v>
      </c>
      <c r="B11" s="62" t="s">
        <v>1068</v>
      </c>
      <c r="C11" s="64" t="n">
        <f aca="false">SUM(E11:P11)</f>
        <v>-33062.6008641397</v>
      </c>
      <c r="D11" s="64" t="n">
        <f aca="false">SUM(Q11:AB11)</f>
        <v>-42338.6623247554</v>
      </c>
      <c r="E11" s="65" t="n">
        <f aca="false">-IF((Credits!E51+Team!E18)=0,0,Receivables!E10*(Credits!E51*Assumptions!$C$125+Team!E18*Assumptions!$C$134)/(Credits!E51+Team!E18))</f>
        <v>-2421.61657057619</v>
      </c>
      <c r="F11" s="65" t="n">
        <f aca="false">-IF((Credits!F51+Team!F18)=0,0,Receivables!F10*(Credits!F51*Assumptions!$C$125+Team!F18*Assumptions!$C$134)/(Credits!F51+Team!F18))</f>
        <v>-2482.90833886559</v>
      </c>
      <c r="G11" s="65" t="n">
        <f aca="false">-IF((Credits!G51+Team!G18)=0,0,Receivables!G10*(Credits!G51*Assumptions!$C$125+Team!G18*Assumptions!$C$134)/(Credits!G51+Team!G18))</f>
        <v>-2611.49702794836</v>
      </c>
      <c r="H11" s="65" t="n">
        <f aca="false">-IF((Credits!H51+Team!H18)=0,0,Receivables!H10*(Credits!H51*Assumptions!$C$125+Team!H18*Assumptions!$C$134)/(Credits!H51+Team!H18))</f>
        <v>-2565.41353748096</v>
      </c>
      <c r="I11" s="65" t="n">
        <f aca="false">-IF((Credits!I51+Team!I18)=0,0,Receivables!I10*(Credits!I51*Assumptions!$C$125+Team!I18*Assumptions!$C$134)/(Credits!I51+Team!I18))</f>
        <v>-2693.66432137153</v>
      </c>
      <c r="J11" s="65" t="n">
        <f aca="false">-IF((Credits!J51+Team!J18)=0,0,Receivables!J10*(Credits!J51*Assumptions!$C$125+Team!J18*Assumptions!$C$134)/(Credits!J51+Team!J18))</f>
        <v>-2749.56187787336</v>
      </c>
      <c r="K11" s="65" t="n">
        <f aca="false">-IF((Credits!K51+Team!K18)=0,0,Receivables!K10*(Credits!K51*Assumptions!$C$125+Team!K18*Assumptions!$C$134)/(Credits!K51+Team!K18))</f>
        <v>-2771.25014215843</v>
      </c>
      <c r="L11" s="65" t="n">
        <f aca="false">-IF((Credits!L51+Team!L18)=0,0,Receivables!L10*(Credits!L51*Assumptions!$C$125+Team!L18*Assumptions!$C$134)/(Credits!L51+Team!L18))</f>
        <v>-2722.27820155202</v>
      </c>
      <c r="M11" s="65" t="n">
        <f aca="false">-IF((Credits!M51+Team!M18)=0,0,Receivables!M10*(Credits!M51*Assumptions!$C$125+Team!M18*Assumptions!$C$134)/(Credits!M51+Team!M18))</f>
        <v>-2923.69189680769</v>
      </c>
      <c r="N11" s="65" t="n">
        <f aca="false">-IF((Credits!N51+Team!N18)=0,0,Receivables!N10*(Credits!N51*Assumptions!$C$125+Team!N18*Assumptions!$C$134)/(Credits!N51+Team!N18))</f>
        <v>-3007.07353378912</v>
      </c>
      <c r="O11" s="65" t="n">
        <f aca="false">-IF((Credits!O51+Team!O18)=0,0,Receivables!O10*(Credits!O51*Assumptions!$C$125+Team!O18*Assumptions!$C$134)/(Credits!O51+Team!O18))</f>
        <v>-3054.01602408981</v>
      </c>
      <c r="P11" s="65" t="n">
        <f aca="false">-IF((Credits!P51+Team!P18)=0,0,Receivables!P10*(Credits!P51*Assumptions!$C$125+Team!P18*Assumptions!$C$134)/(Credits!P51+Team!P18))</f>
        <v>-3059.6293916266</v>
      </c>
      <c r="Q11" s="65" t="n">
        <f aca="false">-IF((Credits!Q51+Team!Q18)=0,0,Receivables!Q10*(Credits!Q51*Assumptions!$C$125+Team!Q18*Assumptions!$C$134)/(Credits!Q51+Team!Q18))</f>
        <v>-3221.06976474238</v>
      </c>
      <c r="R11" s="65" t="n">
        <f aca="false">-IF((Credits!R51+Team!R18)=0,0,Receivables!R10*(Credits!R51*Assumptions!$C$125+Team!R18*Assumptions!$C$134)/(Credits!R51+Team!R18))</f>
        <v>-3259.09486960556</v>
      </c>
      <c r="S11" s="65" t="n">
        <f aca="false">-IF((Credits!S51+Team!S18)=0,0,Receivables!S10*(Credits!S51*Assumptions!$C$125+Team!S18*Assumptions!$C$134)/(Credits!S51+Team!S18))</f>
        <v>-3351.52350087883</v>
      </c>
      <c r="T11" s="65" t="n">
        <f aca="false">-IF((Credits!T51+Team!T18)=0,0,Receivables!T10*(Credits!T51*Assumptions!$C$125+Team!T18*Assumptions!$C$134)/(Credits!T51+Team!T18))</f>
        <v>-3369.21468703026</v>
      </c>
      <c r="U11" s="65" t="n">
        <f aca="false">-IF((Credits!U51+Team!U18)=0,0,Receivables!U10*(Credits!U51*Assumptions!$C$125+Team!U18*Assumptions!$C$134)/(Credits!U51+Team!U18))</f>
        <v>-3426.72029702652</v>
      </c>
      <c r="V11" s="65" t="n">
        <f aca="false">-IF((Credits!V51+Team!V18)=0,0,Receivables!V10*(Credits!V51*Assumptions!$C$125+Team!V18*Assumptions!$C$134)/(Credits!V51+Team!V18))</f>
        <v>-3496.66277970755</v>
      </c>
      <c r="W11" s="65" t="n">
        <f aca="false">-IF((Credits!W51+Team!W18)=0,0,Receivables!W10*(Credits!W51*Assumptions!$C$125+Team!W18*Assumptions!$C$134)/(Credits!W51+Team!W18))</f>
        <v>-3476.43957894808</v>
      </c>
      <c r="X11" s="65" t="n">
        <f aca="false">-IF((Credits!X51+Team!X18)=0,0,Receivables!X10*(Credits!X51*Assumptions!$C$125+Team!X18*Assumptions!$C$134)/(Credits!X51+Team!X18))</f>
        <v>-3393.97023990612</v>
      </c>
      <c r="Y11" s="65" t="n">
        <f aca="false">-IF((Credits!Y51+Team!Y18)=0,0,Receivables!Y10*(Credits!Y51*Assumptions!$C$125+Team!Y18*Assumptions!$C$134)/(Credits!Y51+Team!Y18))</f>
        <v>-3739.43345905319</v>
      </c>
      <c r="Z11" s="65" t="n">
        <f aca="false">-IF((Credits!Z51+Team!Z18)=0,0,Receivables!Z10*(Credits!Z51*Assumptions!$C$125+Team!Z18*Assumptions!$C$134)/(Credits!Z51+Team!Z18))</f>
        <v>-3838.5203843934</v>
      </c>
      <c r="AA11" s="65" t="n">
        <f aca="false">-IF((Credits!AA51+Team!AA18)=0,0,Receivables!AA10*(Credits!AA51*Assumptions!$C$125+Team!AA18*Assumptions!$C$134)/(Credits!AA51+Team!AA18))</f>
        <v>-3882.40034767282</v>
      </c>
      <c r="AB11" s="65" t="n">
        <f aca="false">-IF((Credits!AB51+Team!AB18)=0,0,Receivables!AB10*(Credits!AB51*Assumptions!$C$125+Team!AB18*Assumptions!$C$134)/(Credits!AB51+Team!AB18))</f>
        <v>-3883.61241579064</v>
      </c>
    </row>
    <row r="12" customFormat="false" ht="15" hidden="false" customHeight="false" outlineLevel="0" collapsed="false">
      <c r="A12" s="28" t="s">
        <v>1069</v>
      </c>
      <c r="B12" s="62" t="s">
        <v>1070</v>
      </c>
      <c r="C12" s="64" t="n">
        <f aca="false">SUM(E12:P12)</f>
        <v>-395043.144773624</v>
      </c>
      <c r="D12" s="64" t="n">
        <f aca="false">SUM(Q12:AB12)</f>
        <v>-505963.839515772</v>
      </c>
      <c r="E12" s="65" t="n">
        <f aca="false">-IF(Revenue!E15=0,0,People!E223*E9/Revenue!E15)</f>
        <v>-30448.7001638267</v>
      </c>
      <c r="F12" s="65" t="n">
        <f aca="false">-IF(Revenue!F15=0,0,People!F223*F9/Revenue!F15)</f>
        <v>-28114.3938433305</v>
      </c>
      <c r="G12" s="65" t="n">
        <f aca="false">-IF(Revenue!G15=0,0,People!G223*G9/Revenue!G15)</f>
        <v>-31596.7552244125</v>
      </c>
      <c r="H12" s="65" t="n">
        <f aca="false">-IF(Revenue!H15=0,0,People!H223*H9/Revenue!H15)</f>
        <v>-31443.300834893</v>
      </c>
      <c r="I12" s="65" t="n">
        <f aca="false">-IF(Revenue!I15=0,0,People!I223*I9/Revenue!I15)</f>
        <v>-33801.5515010965</v>
      </c>
      <c r="J12" s="65" t="n">
        <f aca="false">-IF(Revenue!J15=0,0,People!J223*J9/Revenue!J15)</f>
        <v>-35847.3918930971</v>
      </c>
      <c r="K12" s="65" t="n">
        <f aca="false">-IF(Revenue!K15=0,0,People!K223*K9/Revenue!K15)</f>
        <v>-30749.5328765252</v>
      </c>
      <c r="L12" s="65" t="n">
        <f aca="false">-IF(Revenue!L15=0,0,People!L223*L9/Revenue!L15)</f>
        <v>-24286.343520384</v>
      </c>
      <c r="M12" s="65" t="n">
        <f aca="false">-IF(Revenue!M15=0,0,People!M223*M9/Revenue!M15)</f>
        <v>-37469.1425562627</v>
      </c>
      <c r="N12" s="65" t="n">
        <f aca="false">-IF(Revenue!N15=0,0,People!N223*N9/Revenue!N15)</f>
        <v>-36995.2864241233</v>
      </c>
      <c r="O12" s="65" t="n">
        <f aca="false">-IF(Revenue!O15=0,0,People!O223*O9/Revenue!O15)</f>
        <v>-37941.0408723389</v>
      </c>
      <c r="P12" s="65" t="n">
        <f aca="false">-IF(Revenue!P15=0,0,People!P223*P9/Revenue!P15)</f>
        <v>-36349.7050633337</v>
      </c>
      <c r="Q12" s="65" t="n">
        <f aca="false">-IF(Revenue!Q15=0,0,People!Q223*Q9/Revenue!Q15)</f>
        <v>-42824.3564100338</v>
      </c>
      <c r="R12" s="65" t="n">
        <f aca="false">-IF(Revenue!R15=0,0,People!R223*R9/Revenue!R15)</f>
        <v>-40109.3117074548</v>
      </c>
      <c r="S12" s="65" t="n">
        <f aca="false">-IF(Revenue!S15=0,0,People!S223*S9/Revenue!S15)</f>
        <v>-42848.7635733481</v>
      </c>
      <c r="T12" s="65" t="n">
        <f aca="false">-IF(Revenue!T15=0,0,People!T223*T9/Revenue!T15)</f>
        <v>-42731.456553524</v>
      </c>
      <c r="U12" s="65" t="n">
        <f aca="false">-IF(Revenue!U15=0,0,People!U223*U9/Revenue!U15)</f>
        <v>-42437.1929405532</v>
      </c>
      <c r="V12" s="65" t="n">
        <f aca="false">-IF(Revenue!V15=0,0,People!V223*V9/Revenue!V15)</f>
        <v>-41847.0847292048</v>
      </c>
      <c r="W12" s="65" t="n">
        <f aca="false">-IF(Revenue!W15=0,0,People!W223*W9/Revenue!W15)</f>
        <v>-38884.1068595398</v>
      </c>
      <c r="X12" s="65" t="n">
        <f aca="false">-IF(Revenue!X15=0,0,People!X223*X9/Revenue!X15)</f>
        <v>-32719.9836910385</v>
      </c>
      <c r="Y12" s="65" t="n">
        <f aca="false">-IF(Revenue!Y15=0,0,People!Y223*Y9/Revenue!Y15)</f>
        <v>-46614.0409897201</v>
      </c>
      <c r="Z12" s="65" t="n">
        <f aca="false">-IF(Revenue!Z15=0,0,People!Z223*Z9/Revenue!Z15)</f>
        <v>-45029.6480323586</v>
      </c>
      <c r="AA12" s="65" t="n">
        <f aca="false">-IF(Revenue!AA15=0,0,People!AA223*AA9/Revenue!AA15)</f>
        <v>-46375.562764769</v>
      </c>
      <c r="AB12" s="65" t="n">
        <f aca="false">-IF(Revenue!AB15=0,0,People!AB223*AB9/Revenue!AB15)</f>
        <v>-43542.3312642267</v>
      </c>
    </row>
    <row r="13" customFormat="false" ht="15" hidden="false" customHeight="false" outlineLevel="0" collapsed="false">
      <c r="A13" s="58" t="s">
        <v>1071</v>
      </c>
      <c r="B13" s="59"/>
      <c r="C13" s="60" t="n">
        <f aca="false">SUM(E13:P13)</f>
        <v>2070427.82536518</v>
      </c>
      <c r="D13" s="60" t="n">
        <f aca="false">SUM(Q13:AB13)</f>
        <v>2743223.94521404</v>
      </c>
      <c r="E13" s="60" t="n">
        <f aca="false">E9+E10+E11+E12</f>
        <v>156098.774472574</v>
      </c>
      <c r="F13" s="60" t="n">
        <f aca="false">F9+F10+F11+F12</f>
        <v>145225.064306297</v>
      </c>
      <c r="G13" s="60" t="n">
        <f aca="false">G9+G10+G11+G12</f>
        <v>154729.380177333</v>
      </c>
      <c r="H13" s="60" t="n">
        <f aca="false">H9+H10+H11+H12</f>
        <v>151776.93959674</v>
      </c>
      <c r="I13" s="60" t="n">
        <f aca="false">I9+I10+I11+I12</f>
        <v>162669.896367228</v>
      </c>
      <c r="J13" s="60" t="n">
        <f aca="false">J9+J10+J11+J12</f>
        <v>182547.871001356</v>
      </c>
      <c r="K13" s="60" t="n">
        <f aca="false">K9+K10+K11+K12</f>
        <v>174602.104268193</v>
      </c>
      <c r="L13" s="60" t="n">
        <f aca="false">L9+L10+L11+L12</f>
        <v>177778.28572788</v>
      </c>
      <c r="M13" s="60" t="n">
        <f aca="false">M9+M10+M11+M12</f>
        <v>229591.388578835</v>
      </c>
      <c r="N13" s="60" t="n">
        <f aca="false">N9+N10+N11+N12</f>
        <v>170731.007060516</v>
      </c>
      <c r="O13" s="60" t="n">
        <f aca="false">O9+O10+O11+O12</f>
        <v>179068.269807419</v>
      </c>
      <c r="P13" s="60" t="n">
        <f aca="false">P9+P10+P11+P12</f>
        <v>185608.844000812</v>
      </c>
      <c r="Q13" s="60" t="n">
        <f aca="false">Q9+Q10+Q11+Q12</f>
        <v>196941.893801772</v>
      </c>
      <c r="R13" s="60" t="n">
        <f aca="false">R9+R10+R11+R12</f>
        <v>193054.0625415</v>
      </c>
      <c r="S13" s="60" t="n">
        <f aca="false">S9+S10+S11+S12</f>
        <v>250336.53071435</v>
      </c>
      <c r="T13" s="60" t="n">
        <f aca="false">T9+T10+T11+T12</f>
        <v>200298.010263529</v>
      </c>
      <c r="U13" s="60" t="n">
        <f aca="false">U9+U10+U11+U12</f>
        <v>209677.15648858</v>
      </c>
      <c r="V13" s="60" t="n">
        <f aca="false">V9+V10+V11+V12</f>
        <v>243856.291524773</v>
      </c>
      <c r="W13" s="60" t="n">
        <f aca="false">W9+W10+W11+W12</f>
        <v>217900.934818355</v>
      </c>
      <c r="X13" s="60" t="n">
        <f aca="false">X9+X10+X11+X12</f>
        <v>228095.635932706</v>
      </c>
      <c r="Y13" s="60" t="n">
        <f aca="false">Y9+Y10+Y11+Y12</f>
        <v>250547.467398457</v>
      </c>
      <c r="Z13" s="60" t="n">
        <f aca="false">Z9+Z10+Z11+Z12</f>
        <v>259664.444632953</v>
      </c>
      <c r="AA13" s="60" t="n">
        <f aca="false">AA9+AA10+AA11+AA12</f>
        <v>254551.525872359</v>
      </c>
      <c r="AB13" s="60" t="n">
        <f aca="false">AB9+AB10+AB11+AB12</f>
        <v>238299.9912247</v>
      </c>
    </row>
    <row r="14" customFormat="false" ht="15" hidden="false" customHeight="false" outlineLevel="0" collapsed="false">
      <c r="A14" s="28" t="s">
        <v>368</v>
      </c>
      <c r="B14" s="62"/>
      <c r="C14" s="66" t="n">
        <f aca="false">IF(C9=0,0,C13/C9)</f>
        <v>0.719257765573792</v>
      </c>
      <c r="D14" s="66" t="n">
        <f aca="false">IF(D9=0,0,D13/D9)</f>
        <v>0.722060302720101</v>
      </c>
      <c r="E14" s="75" t="n">
        <f aca="false">IF(E9=0,0,E13/E9)</f>
        <v>0.715432988566069</v>
      </c>
      <c r="F14" s="75" t="n">
        <f aca="false">IF(F9=0,0,F13/F9)</f>
        <v>0.710437915230989</v>
      </c>
      <c r="G14" s="75" t="n">
        <f aca="false">IF(G9=0,0,G13/G9)</f>
        <v>0.712014604115303</v>
      </c>
      <c r="H14" s="75" t="n">
        <f aca="false">IF(H9=0,0,H13/H9)</f>
        <v>0.704844461208186</v>
      </c>
      <c r="I14" s="75" t="n">
        <f aca="false">IF(I9=0,0,I13/I9)</f>
        <v>0.710202175067458</v>
      </c>
      <c r="J14" s="75" t="n">
        <f aca="false">IF(J9=0,0,J13/J9)</f>
        <v>0.720882459329137</v>
      </c>
      <c r="K14" s="75" t="n">
        <f aca="false">IF(K9=0,0,K13/K9)</f>
        <v>0.723344662576654</v>
      </c>
      <c r="L14" s="75" t="n">
        <f aca="false">IF(L9=0,0,L13/L9)</f>
        <v>0.748164262111881</v>
      </c>
      <c r="M14" s="75" t="n">
        <f aca="false">IF(M9=0,0,M13/M9)</f>
        <v>0.756794311602998</v>
      </c>
      <c r="N14" s="75" t="n">
        <f aca="false">IF(N9=0,0,N13/N9)</f>
        <v>0.699797643153129</v>
      </c>
      <c r="O14" s="75" t="n">
        <f aca="false">IF(O9=0,0,O13/O9)</f>
        <v>0.703987602004392</v>
      </c>
      <c r="P14" s="75" t="n">
        <f aca="false">IF(P9=0,0,P13/P9)</f>
        <v>0.712984596933449</v>
      </c>
      <c r="Q14" s="75" t="n">
        <f aca="false">IF(Q9=0,0,Q13/Q9)</f>
        <v>0.697855790150334</v>
      </c>
      <c r="R14" s="75" t="n">
        <f aca="false">IF(R9=0,0,R13/R9)</f>
        <v>0.698806202778573</v>
      </c>
      <c r="S14" s="75" t="n">
        <f aca="false">IF(S9=0,0,S13/S9)</f>
        <v>0.741678971441959</v>
      </c>
      <c r="T14" s="75" t="n">
        <f aca="false">IF(T9=0,0,T13/T9)</f>
        <v>0.6972722699634</v>
      </c>
      <c r="U14" s="75" t="n">
        <f aca="false">IF(U9=0,0,U13/U9)</f>
        <v>0.704792061567762</v>
      </c>
      <c r="V14" s="75" t="n">
        <f aca="false">IF(V9=0,0,V13/V9)</f>
        <v>0.736703335088918</v>
      </c>
      <c r="W14" s="75" t="n">
        <f aca="false">IF(W9=0,0,W13/W9)</f>
        <v>0.719918579270271</v>
      </c>
      <c r="X14" s="75" t="n">
        <f aca="false">IF(X9=0,0,X13/X9)</f>
        <v>0.74312379105958</v>
      </c>
      <c r="Y14" s="75" t="n">
        <f aca="false">IF(Y9=0,0,Y13/Y9)</f>
        <v>0.726925987972178</v>
      </c>
      <c r="Z14" s="75" t="n">
        <f aca="false">IF(Z9=0,0,Z13/Z9)</f>
        <v>0.736404979997693</v>
      </c>
      <c r="AA14" s="75" t="n">
        <f aca="false">IF(AA9=0,0,AA13/AA9)</f>
        <v>0.728321797310929</v>
      </c>
      <c r="AB14" s="75" t="n">
        <f aca="false">IF(AB9=0,0,AB13/AB9)</f>
        <v>0.719956156402094</v>
      </c>
    </row>
    <row r="15" customFormat="false" ht="15" hidden="false" customHeight="false" outlineLevel="0" collapsed="false">
      <c r="A15" s="22" t="s">
        <v>1072</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row>
    <row r="16" customFormat="false" ht="15" hidden="false" customHeight="false" outlineLevel="0" collapsed="false">
      <c r="A16" s="28" t="s">
        <v>44</v>
      </c>
      <c r="B16" s="62" t="s">
        <v>44</v>
      </c>
      <c r="C16" s="64" t="n">
        <f aca="false">SUM(E16:P16)</f>
        <v>1930242.8193299</v>
      </c>
      <c r="D16" s="64" t="n">
        <f aca="false">SUM(Q16:AB16)</f>
        <v>2554728.79434378</v>
      </c>
      <c r="E16" s="65" t="n">
        <f aca="false">Revenue!E21</f>
        <v>143959.925272727</v>
      </c>
      <c r="F16" s="65" t="n">
        <f aca="false">Revenue!F21</f>
        <v>137752.077590909</v>
      </c>
      <c r="G16" s="65" t="n">
        <f aca="false">Revenue!G21</f>
        <v>158804.705590909</v>
      </c>
      <c r="H16" s="65" t="n">
        <f aca="false">Revenue!H21</f>
        <v>139936.677681818</v>
      </c>
      <c r="I16" s="65" t="n">
        <f aca="false">Revenue!I21</f>
        <v>147426.972727273</v>
      </c>
      <c r="J16" s="65" t="n">
        <f aca="false">Revenue!J21</f>
        <v>165246.954272727</v>
      </c>
      <c r="K16" s="65" t="n">
        <f aca="false">Revenue!K21</f>
        <v>167996.529772727</v>
      </c>
      <c r="L16" s="65" t="n">
        <f aca="false">Revenue!L21</f>
        <v>177567.787818182</v>
      </c>
      <c r="M16" s="65" t="n">
        <f aca="false">Revenue!M21</f>
        <v>178375.012363957</v>
      </c>
      <c r="N16" s="65" t="n">
        <f aca="false">Revenue!N21</f>
        <v>165712.860687767</v>
      </c>
      <c r="O16" s="65" t="n">
        <f aca="false">Revenue!O21</f>
        <v>172420.544214754</v>
      </c>
      <c r="P16" s="65" t="n">
        <f aca="false">Revenue!P21</f>
        <v>175042.771336144</v>
      </c>
      <c r="Q16" s="65" t="n">
        <f aca="false">Revenue!Q21</f>
        <v>187878.098288823</v>
      </c>
      <c r="R16" s="65" t="n">
        <f aca="false">Revenue!R21</f>
        <v>185589.950514154</v>
      </c>
      <c r="S16" s="65" t="n">
        <f aca="false">Revenue!S21</f>
        <v>215006.976650467</v>
      </c>
      <c r="T16" s="65" t="n">
        <f aca="false">Revenue!T21</f>
        <v>194039.881888742</v>
      </c>
      <c r="U16" s="65" t="n">
        <f aca="false">Revenue!U21</f>
        <v>200489.802685947</v>
      </c>
      <c r="V16" s="65" t="n">
        <f aca="false">Revenue!V21</f>
        <v>258800.835321234</v>
      </c>
      <c r="W16" s="65" t="n">
        <f aca="false">Revenue!W21</f>
        <v>203754.943267394</v>
      </c>
      <c r="X16" s="65" t="n">
        <f aca="false">Revenue!X21</f>
        <v>211829.504166986</v>
      </c>
      <c r="Y16" s="65" t="n">
        <f aca="false">Revenue!Y21</f>
        <v>217692.622943038</v>
      </c>
      <c r="Z16" s="65" t="n">
        <f aca="false">Revenue!Z21</f>
        <v>234463.528251118</v>
      </c>
      <c r="AA16" s="65" t="n">
        <f aca="false">Revenue!AA21</f>
        <v>222605.92452837</v>
      </c>
      <c r="AB16" s="65" t="n">
        <f aca="false">Revenue!AB21</f>
        <v>222576.725837508</v>
      </c>
    </row>
    <row r="17" customFormat="false" ht="15" hidden="false" customHeight="false" outlineLevel="0" collapsed="false">
      <c r="A17" s="28" t="s">
        <v>1066</v>
      </c>
      <c r="B17" s="62" t="s">
        <v>57</v>
      </c>
      <c r="C17" s="64" t="n">
        <f aca="false">SUM(E17:P17)</f>
        <v>-719319.963405719</v>
      </c>
      <c r="D17" s="64" t="n">
        <f aca="false">SUM(Q17:AB17)</f>
        <v>-888930.629882172</v>
      </c>
      <c r="E17" s="65" t="n">
        <f aca="false">-Unit_Costs!E27</f>
        <v>-55381.5870752605</v>
      </c>
      <c r="F17" s="65" t="n">
        <f aca="false">-Unit_Costs!F27</f>
        <v>-55758.885417439</v>
      </c>
      <c r="G17" s="65" t="n">
        <f aca="false">-Unit_Costs!G27</f>
        <v>-57349.4734217642</v>
      </c>
      <c r="H17" s="65" t="n">
        <f aca="false">-Unit_Costs!H27</f>
        <v>-55520.9055606544</v>
      </c>
      <c r="I17" s="65" t="n">
        <f aca="false">-Unit_Costs!I27</f>
        <v>-59174.724702924</v>
      </c>
      <c r="J17" s="65" t="n">
        <f aca="false">-Unit_Costs!J27</f>
        <v>-60118.8237764927</v>
      </c>
      <c r="K17" s="65" t="n">
        <f aca="false">-Unit_Costs!K27</f>
        <v>-67183.446867849</v>
      </c>
      <c r="L17" s="65" t="n">
        <f aca="false">-Unit_Costs!L27</f>
        <v>-67017.0167662325</v>
      </c>
      <c r="M17" s="65" t="n">
        <f aca="false">-Unit_Costs!M27</f>
        <v>-67223.2486252735</v>
      </c>
      <c r="N17" s="65" t="n">
        <f aca="false">-Unit_Costs!N27</f>
        <v>-56435.8949071472</v>
      </c>
      <c r="O17" s="65" t="n">
        <f aca="false">-Unit_Costs!O27</f>
        <v>-58433.5644563037</v>
      </c>
      <c r="P17" s="65" t="n">
        <f aca="false">-Unit_Costs!P27</f>
        <v>-59722.3918283784</v>
      </c>
      <c r="Q17" s="65" t="n">
        <f aca="false">-Unit_Costs!Q27</f>
        <v>-67188.8896565687</v>
      </c>
      <c r="R17" s="65" t="n">
        <f aca="false">-Unit_Costs!R27</f>
        <v>-68750.8347807769</v>
      </c>
      <c r="S17" s="65" t="n">
        <f aca="false">-Unit_Costs!S27</f>
        <v>-71204.9490651522</v>
      </c>
      <c r="T17" s="65" t="n">
        <f aca="false">-Unit_Costs!T27</f>
        <v>-71420.4482689053</v>
      </c>
      <c r="U17" s="65" t="n">
        <f aca="false">-Unit_Costs!U27</f>
        <v>-73398.9170996563</v>
      </c>
      <c r="V17" s="65" t="n">
        <f aca="false">-Unit_Costs!V27</f>
        <v>-74546.7769098763</v>
      </c>
      <c r="W17" s="65" t="n">
        <f aca="false">-Unit_Costs!W27</f>
        <v>-74407.4701333728</v>
      </c>
      <c r="X17" s="65" t="n">
        <f aca="false">-Unit_Costs!X27</f>
        <v>-75213.0276840855</v>
      </c>
      <c r="Y17" s="65" t="n">
        <f aca="false">-Unit_Costs!Y27</f>
        <v>-76177.4613588078</v>
      </c>
      <c r="Z17" s="65" t="n">
        <f aca="false">-Unit_Costs!Z27</f>
        <v>-77635.3896764941</v>
      </c>
      <c r="AA17" s="65" t="n">
        <f aca="false">-Unit_Costs!AA27</f>
        <v>-78690.3500139206</v>
      </c>
      <c r="AB17" s="65" t="n">
        <f aca="false">-Unit_Costs!AB27</f>
        <v>-80296.1152345554</v>
      </c>
    </row>
    <row r="18" customFormat="false" ht="15" hidden="false" customHeight="false" outlineLevel="0" collapsed="false">
      <c r="A18" s="28" t="s">
        <v>1067</v>
      </c>
      <c r="B18" s="62" t="s">
        <v>1068</v>
      </c>
      <c r="C18" s="64" t="n">
        <f aca="false">SUM(E18:P18)</f>
        <v>-20373.8112165733</v>
      </c>
      <c r="D18" s="64" t="n">
        <f aca="false">SUM(Q18:AB18)</f>
        <v>-26038.7889273923</v>
      </c>
      <c r="E18" s="65" t="n">
        <f aca="false">-IF((Credits!E51+Team!E18)=0,0,Receivables!E10*(Credits!E51*Assumptions!$C$126+Team!E18*Assumptions!$C$135)/(Credits!E51+Team!E18))</f>
        <v>-1492.80728528809</v>
      </c>
      <c r="F18" s="65" t="n">
        <f aca="false">-IF((Credits!F51+Team!F18)=0,0,Receivables!F10*(Credits!F51*Assumptions!$C$126+Team!F18*Assumptions!$C$135)/(Credits!F51+Team!F18))</f>
        <v>-1529.60666943279</v>
      </c>
      <c r="G18" s="65" t="n">
        <f aca="false">-IF((Credits!G51+Team!G18)=0,0,Receivables!G10*(Credits!G51*Assumptions!$C$126+Team!G18*Assumptions!$C$135)/(Credits!G51+Team!G18))</f>
        <v>-1609.34101397418</v>
      </c>
      <c r="H18" s="65" t="n">
        <f aca="false">-IF((Credits!H51+Team!H18)=0,0,Receivables!H10*(Credits!H51*Assumptions!$C$126+Team!H18*Assumptions!$C$135)/(Credits!H51+Team!H18))</f>
        <v>-1580.83426874048</v>
      </c>
      <c r="I18" s="65" t="n">
        <f aca="false">-IF((Credits!I51+Team!I18)=0,0,Receivables!I10*(Credits!I51*Assumptions!$C$126+Team!I18*Assumptions!$C$135)/(Credits!I51+Team!I18))</f>
        <v>-1660.79516068576</v>
      </c>
      <c r="J18" s="65" t="n">
        <f aca="false">-IF((Credits!J51+Team!J18)=0,0,Receivables!J10*(Credits!J51*Assumptions!$C$126+Team!J18*Assumptions!$C$135)/(Credits!J51+Team!J18))</f>
        <v>-1695.14343893668</v>
      </c>
      <c r="K18" s="65" t="n">
        <f aca="false">-IF((Credits!K51+Team!K18)=0,0,Receivables!K10*(Credits!K51*Assumptions!$C$126+Team!K18*Assumptions!$C$135)/(Credits!K51+Team!K18))</f>
        <v>-1708.01207107921</v>
      </c>
      <c r="L18" s="65" t="n">
        <f aca="false">-IF((Credits!L51+Team!L18)=0,0,Receivables!L10*(Credits!L51*Assumptions!$C$126+Team!L18*Assumptions!$C$135)/(Credits!L51+Team!L18))</f>
        <v>-1678.19810077601</v>
      </c>
      <c r="M18" s="65" t="n">
        <f aca="false">-IF((Credits!M51+Team!M18)=0,0,Receivables!M10*(Credits!M51*Assumptions!$C$126+Team!M18*Assumptions!$C$135)/(Credits!M51+Team!M18))</f>
        <v>-1801.47492992343</v>
      </c>
      <c r="N18" s="65" t="n">
        <f aca="false">-IF((Credits!N51+Team!N18)=0,0,Receivables!N10*(Credits!N51*Assumptions!$C$126+Team!N18*Assumptions!$C$135)/(Credits!N51+Team!N18))</f>
        <v>-1852.35510841437</v>
      </c>
      <c r="O18" s="65" t="n">
        <f aca="false">-IF((Credits!O51+Team!O18)=0,0,Receivables!O10*(Credits!O51*Assumptions!$C$126+Team!O18*Assumptions!$C$135)/(Credits!O51+Team!O18))</f>
        <v>-1880.58938215358</v>
      </c>
      <c r="P18" s="65" t="n">
        <f aca="false">-IF((Credits!P51+Team!P18)=0,0,Receivables!P10*(Credits!P51*Assumptions!$C$126+Team!P18*Assumptions!$C$135)/(Credits!P51+Team!P18))</f>
        <v>-1884.65378716869</v>
      </c>
      <c r="Q18" s="65" t="n">
        <f aca="false">-IF((Credits!Q51+Team!Q18)=0,0,Receivables!Q10*(Credits!Q51*Assumptions!$C$126+Team!Q18*Assumptions!$C$135)/(Credits!Q51+Team!Q18))</f>
        <v>-1982.23667836162</v>
      </c>
      <c r="R18" s="65" t="n">
        <f aca="false">-IF((Credits!R51+Team!R18)=0,0,Receivables!R10*(Credits!R51*Assumptions!$C$126+Team!R18*Assumptions!$C$135)/(Credits!R51+Team!R18))</f>
        <v>-2005.88541265418</v>
      </c>
      <c r="S18" s="65" t="n">
        <f aca="false">-IF((Credits!S51+Team!S18)=0,0,Receivables!S10*(Credits!S51*Assumptions!$C$126+Team!S18*Assumptions!$C$135)/(Credits!S51+Team!S18))</f>
        <v>-2062.14328631428</v>
      </c>
      <c r="T18" s="65" t="n">
        <f aca="false">-IF((Credits!T51+Team!T18)=0,0,Receivables!T10*(Credits!T51*Assumptions!$C$126+Team!T18*Assumptions!$C$135)/(Credits!T51+Team!T18))</f>
        <v>-2072.94176767212</v>
      </c>
      <c r="U18" s="65" t="n">
        <f aca="false">-IF((Credits!U51+Team!U18)=0,0,Receivables!U10*(Credits!U51*Assumptions!$C$126+Team!U18*Assumptions!$C$135)/(Credits!U51+Team!U18))</f>
        <v>-2107.4509482563</v>
      </c>
      <c r="V18" s="65" t="n">
        <f aca="false">-IF((Credits!V51+Team!V18)=0,0,Receivables!V10*(Credits!V51*Assumptions!$C$126+Team!V18*Assumptions!$C$135)/(Credits!V51+Team!V18))</f>
        <v>-2151.34533784244</v>
      </c>
      <c r="W18" s="65" t="n">
        <f aca="false">-IF((Credits!W51+Team!W18)=0,0,Receivables!W10*(Credits!W51*Assumptions!$C$126+Team!W18*Assumptions!$C$135)/(Credits!W51+Team!W18))</f>
        <v>-2138.20708160602</v>
      </c>
      <c r="X18" s="65" t="n">
        <f aca="false">-IF((Credits!X51+Team!X18)=0,0,Receivables!X10*(Credits!X51*Assumptions!$C$126+Team!X18*Assumptions!$C$135)/(Credits!X51+Team!X18))</f>
        <v>-2087.70814331567</v>
      </c>
      <c r="Y18" s="65" t="n">
        <f aca="false">-IF((Credits!Y51+Team!Y18)=0,0,Receivables!Y10*(Credits!Y51*Assumptions!$C$126+Team!Y18*Assumptions!$C$135)/(Credits!Y51+Team!Y18))</f>
        <v>-2299.35036226513</v>
      </c>
      <c r="Z18" s="65" t="n">
        <f aca="false">-IF((Credits!Z51+Team!Z18)=0,0,Receivables!Z10*(Credits!Z51*Assumptions!$C$126+Team!Z18*Assumptions!$C$135)/(Credits!Z51+Team!Z18))</f>
        <v>-2359.43840644402</v>
      </c>
      <c r="AA18" s="65" t="n">
        <f aca="false">-IF((Credits!AA51+Team!AA18)=0,0,Receivables!AA10*(Credits!AA51*Assumptions!$C$126+Team!AA18*Assumptions!$C$135)/(Credits!AA51+Team!AA18))</f>
        <v>-2385.83262283666</v>
      </c>
      <c r="AB18" s="65" t="n">
        <f aca="false">-IF((Credits!AB51+Team!AB18)=0,0,Receivables!AB10*(Credits!AB51*Assumptions!$C$126+Team!AB18*Assumptions!$C$135)/(Credits!AB51+Team!AB18))</f>
        <v>-2386.24887982387</v>
      </c>
    </row>
    <row r="19" customFormat="false" ht="15" hidden="false" customHeight="false" outlineLevel="0" collapsed="false">
      <c r="A19" s="28" t="s">
        <v>1069</v>
      </c>
      <c r="B19" s="62" t="s">
        <v>1070</v>
      </c>
      <c r="C19" s="64" t="n">
        <f aca="false">SUM(E19:P19)</f>
        <v>-264577.031772052</v>
      </c>
      <c r="D19" s="64" t="n">
        <f aca="false">SUM(Q19:AB19)</f>
        <v>-339889.467216309</v>
      </c>
      <c r="E19" s="65" t="n">
        <f aca="false">-IF(Revenue!E15=0,0,People!E223*E16/Revenue!E15)</f>
        <v>-20089.9954444956</v>
      </c>
      <c r="F19" s="65" t="n">
        <f aca="false">-IF(Revenue!F15=0,0,People!F223*F16/Revenue!F15)</f>
        <v>-18945.7340124977</v>
      </c>
      <c r="G19" s="65" t="n">
        <f aca="false">-IF(Revenue!G15=0,0,People!G223*G16/Revenue!G15)</f>
        <v>-23089.895557209</v>
      </c>
      <c r="H19" s="65" t="n">
        <f aca="false">-IF(Revenue!H15=0,0,People!H223*H16/Revenue!H15)</f>
        <v>-20433.7083071036</v>
      </c>
      <c r="I19" s="65" t="n">
        <f aca="false">-IF(Revenue!I15=0,0,People!I223*I16/Revenue!I15)</f>
        <v>-21756.4679271529</v>
      </c>
      <c r="J19" s="65" t="n">
        <f aca="false">-IF(Revenue!J15=0,0,People!J223*J16/Revenue!J15)</f>
        <v>-23392.6117753815</v>
      </c>
      <c r="K19" s="65" t="n">
        <f aca="false">-IF(Revenue!K15=0,0,People!K223*K16/Revenue!K15)</f>
        <v>-21401.0282993563</v>
      </c>
      <c r="L19" s="65" t="n">
        <f aca="false">-IF(Revenue!L15=0,0,People!L223*L16/Revenue!L15)</f>
        <v>-18148.6599324564</v>
      </c>
      <c r="M19" s="65" t="n">
        <f aca="false">-IF(Revenue!M15=0,0,People!M223*M16/Revenue!M15)</f>
        <v>-22030.7882070087</v>
      </c>
      <c r="N19" s="65" t="n">
        <f aca="false">-IF(Revenue!N15=0,0,People!N223*N16/Revenue!N15)</f>
        <v>-25128.2753364806</v>
      </c>
      <c r="O19" s="65" t="n">
        <f aca="false">-IF(Revenue!O15=0,0,People!O223*O16/Revenue!O15)</f>
        <v>-25718.4402346628</v>
      </c>
      <c r="P19" s="65" t="n">
        <f aca="false">-IF(Revenue!P15=0,0,People!P223*P16/Revenue!P15)</f>
        <v>-24441.426738247</v>
      </c>
      <c r="Q19" s="65" t="n">
        <f aca="false">-IF(Revenue!Q15=0,0,People!Q223*Q16/Revenue!Q15)</f>
        <v>-28509.8266631554</v>
      </c>
      <c r="R19" s="65" t="n">
        <f aca="false">-IF(Revenue!R15=0,0,People!R223*R16/Revenue!R15)</f>
        <v>-26944.955545308</v>
      </c>
      <c r="S19" s="65" t="n">
        <f aca="false">-IF(Revenue!S15=0,0,People!S223*S16/Revenue!S15)</f>
        <v>-27294.9676221405</v>
      </c>
      <c r="T19" s="65" t="n">
        <f aca="false">-IF(Revenue!T15=0,0,People!T223*T16/Revenue!T15)</f>
        <v>-28864.5277870042</v>
      </c>
      <c r="U19" s="65" t="n">
        <f aca="false">-IF(Revenue!U15=0,0,People!U223*U16/Revenue!U15)</f>
        <v>-28598.8666729627</v>
      </c>
      <c r="V19" s="65" t="n">
        <f aca="false">-IF(Revenue!V15=0,0,People!V223*V16/Revenue!V15)</f>
        <v>-32718.2113188529</v>
      </c>
      <c r="W19" s="65" t="n">
        <f aca="false">-IF(Revenue!W15=0,0,People!W223*W16/Revenue!W15)</f>
        <v>-26176.0776427997</v>
      </c>
      <c r="X19" s="65" t="n">
        <f aca="false">-IF(Revenue!X15=0,0,People!X223*X16/Revenue!X15)</f>
        <v>-22581.0284256852</v>
      </c>
      <c r="Y19" s="65" t="n">
        <f aca="false">-IF(Revenue!Y15=0,0,People!Y223*Y16/Revenue!Y15)</f>
        <v>-29441.5482158017</v>
      </c>
      <c r="Z19" s="65" t="n">
        <f aca="false">-IF(Revenue!Z15=0,0,People!Z223*Z16/Revenue!Z15)</f>
        <v>-29941.8119640957</v>
      </c>
      <c r="AA19" s="65" t="n">
        <f aca="false">-IF(Revenue!AA15=0,0,People!AA223*AA16/Revenue!AA15)</f>
        <v>-29537.4850289003</v>
      </c>
      <c r="AB19" s="65" t="n">
        <f aca="false">-IF(Revenue!AB15=0,0,People!AB223*AB16/Revenue!AB15)</f>
        <v>-29280.1603296032</v>
      </c>
    </row>
    <row r="20" customFormat="false" ht="15" hidden="false" customHeight="false" outlineLevel="0" collapsed="false">
      <c r="A20" s="58" t="s">
        <v>1071</v>
      </c>
      <c r="B20" s="59"/>
      <c r="C20" s="60" t="n">
        <f aca="false">SUM(E20:P20)</f>
        <v>925972.012935551</v>
      </c>
      <c r="D20" s="60" t="n">
        <f aca="false">SUM(Q20:AB20)</f>
        <v>1299869.90831791</v>
      </c>
      <c r="E20" s="60" t="n">
        <f aca="false">E16+E17+E18+E19</f>
        <v>66995.5354676831</v>
      </c>
      <c r="F20" s="60" t="n">
        <f aca="false">F16+F17+F18+F19</f>
        <v>61517.8514915396</v>
      </c>
      <c r="G20" s="60" t="n">
        <f aca="false">G16+G17+G18+G19</f>
        <v>76755.9955979617</v>
      </c>
      <c r="H20" s="60" t="n">
        <f aca="false">H16+H17+H18+H19</f>
        <v>62401.2295453197</v>
      </c>
      <c r="I20" s="60" t="n">
        <f aca="false">I16+I17+I18+I19</f>
        <v>64834.98493651</v>
      </c>
      <c r="J20" s="60" t="n">
        <f aca="false">J16+J17+J18+J19</f>
        <v>80040.3752819163</v>
      </c>
      <c r="K20" s="60" t="n">
        <f aca="false">K16+K17+K18+K19</f>
        <v>77704.0425344427</v>
      </c>
      <c r="L20" s="60" t="n">
        <f aca="false">L16+L17+L18+L19</f>
        <v>90723.9130187169</v>
      </c>
      <c r="M20" s="60" t="n">
        <f aca="false">M16+M17+M18+M19</f>
        <v>87319.5006017511</v>
      </c>
      <c r="N20" s="60" t="n">
        <f aca="false">N16+N17+N18+N19</f>
        <v>82296.3353357252</v>
      </c>
      <c r="O20" s="60" t="n">
        <f aca="false">O16+O17+O18+O19</f>
        <v>86387.9501416344</v>
      </c>
      <c r="P20" s="60" t="n">
        <f aca="false">P16+P17+P18+P19</f>
        <v>88994.2989823502</v>
      </c>
      <c r="Q20" s="60" t="n">
        <f aca="false">Q16+Q17+Q18+Q19</f>
        <v>90197.145290737</v>
      </c>
      <c r="R20" s="60" t="n">
        <f aca="false">R16+R17+R18+R19</f>
        <v>87888.2747754146</v>
      </c>
      <c r="S20" s="60" t="n">
        <f aca="false">S16+S17+S18+S19</f>
        <v>114444.91667686</v>
      </c>
      <c r="T20" s="60" t="n">
        <f aca="false">T16+T17+T18+T19</f>
        <v>91681.9640651606</v>
      </c>
      <c r="U20" s="60" t="n">
        <f aca="false">U16+U17+U18+U19</f>
        <v>96384.5679650716</v>
      </c>
      <c r="V20" s="60" t="n">
        <f aca="false">V16+V17+V18+V19</f>
        <v>149384.501754663</v>
      </c>
      <c r="W20" s="60" t="n">
        <f aca="false">W16+W17+W18+W19</f>
        <v>101033.188409615</v>
      </c>
      <c r="X20" s="60" t="n">
        <f aca="false">X16+X17+X18+X19</f>
        <v>111947.739913899</v>
      </c>
      <c r="Y20" s="60" t="n">
        <f aca="false">Y16+Y17+Y18+Y19</f>
        <v>109774.263006163</v>
      </c>
      <c r="Z20" s="60" t="n">
        <f aca="false">Z16+Z17+Z18+Z19</f>
        <v>124526.888204084</v>
      </c>
      <c r="AA20" s="60" t="n">
        <f aca="false">AA16+AA17+AA18+AA19</f>
        <v>111992.256862713</v>
      </c>
      <c r="AB20" s="60" t="n">
        <f aca="false">AB16+AB17+AB18+AB19</f>
        <v>110614.201393526</v>
      </c>
    </row>
    <row r="21" customFormat="false" ht="15" hidden="false" customHeight="false" outlineLevel="0" collapsed="false">
      <c r="A21" s="28" t="s">
        <v>368</v>
      </c>
      <c r="B21" s="62"/>
      <c r="C21" s="66" t="n">
        <f aca="false">IF(C16=0,0,C20/C16)</f>
        <v>0.479717890237774</v>
      </c>
      <c r="D21" s="66" t="n">
        <f aca="false">IF(D16=0,0,D20/D16)</f>
        <v>0.508809354322011</v>
      </c>
      <c r="E21" s="75" t="n">
        <f aca="false">IF(E16=0,0,E20/E16)</f>
        <v>0.465376286773991</v>
      </c>
      <c r="F21" s="75" t="n">
        <f aca="false">IF(F16=0,0,F20/F16)</f>
        <v>0.446583837916645</v>
      </c>
      <c r="G21" s="75" t="n">
        <f aca="false">IF(G16=0,0,G20/G16)</f>
        <v>0.483335775929021</v>
      </c>
      <c r="H21" s="75" t="n">
        <f aca="false">IF(H16=0,0,H20/H16)</f>
        <v>0.445924760963704</v>
      </c>
      <c r="I21" s="75" t="n">
        <f aca="false">IF(I16=0,0,I20/I16)</f>
        <v>0.439776953546005</v>
      </c>
      <c r="J21" s="75" t="n">
        <f aca="false">IF(J16=0,0,J20/J16)</f>
        <v>0.484368233194882</v>
      </c>
      <c r="K21" s="75" t="n">
        <f aca="false">IF(K16=0,0,K20/K16)</f>
        <v>0.462533616852467</v>
      </c>
      <c r="L21" s="75" t="n">
        <f aca="false">IF(L16=0,0,L20/L16)</f>
        <v>0.510925512636405</v>
      </c>
      <c r="M21" s="75" t="n">
        <f aca="false">IF(M16=0,0,M20/M16)</f>
        <v>0.489527649890693</v>
      </c>
      <c r="N21" s="75" t="n">
        <f aca="false">IF(N16=0,0,N20/N16)</f>
        <v>0.496620087265202</v>
      </c>
      <c r="O21" s="75" t="n">
        <f aca="false">IF(O16=0,0,O20/O16)</f>
        <v>0.501030492248278</v>
      </c>
      <c r="P21" s="75" t="n">
        <f aca="false">IF(P16=0,0,P20/P16)</f>
        <v>0.508414590919893</v>
      </c>
      <c r="Q21" s="75" t="n">
        <f aca="false">IF(Q16=0,0,Q20/Q16)</f>
        <v>0.480083341870312</v>
      </c>
      <c r="R21" s="75" t="n">
        <f aca="false">IF(R16=0,0,R20/R16)</f>
        <v>0.473561604666261</v>
      </c>
      <c r="S21" s="75" t="n">
        <f aca="false">IF(S16=0,0,S20/S16)</f>
        <v>0.532284665640924</v>
      </c>
      <c r="T21" s="75" t="n">
        <f aca="false">IF(T16=0,0,T20/T16)</f>
        <v>0.472490310614232</v>
      </c>
      <c r="U21" s="75" t="n">
        <f aca="false">IF(U16=0,0,U20/U16)</f>
        <v>0.480745487669771</v>
      </c>
      <c r="V21" s="75" t="n">
        <f aca="false">IF(V16=0,0,V20/V16)</f>
        <v>0.577218004606672</v>
      </c>
      <c r="W21" s="75" t="n">
        <f aca="false">IF(W16=0,0,W20/W16)</f>
        <v>0.495856379185002</v>
      </c>
      <c r="X21" s="75" t="n">
        <f aca="false">IF(X16=0,0,X20/X16)</f>
        <v>0.528480394429148</v>
      </c>
      <c r="Y21" s="75" t="n">
        <f aca="false">IF(Y16=0,0,Y20/Y16)</f>
        <v>0.50426266872115</v>
      </c>
      <c r="Z21" s="75" t="n">
        <f aca="false">IF(Z16=0,0,Z20/Z16)</f>
        <v>0.531114110296557</v>
      </c>
      <c r="AA21" s="75" t="n">
        <f aca="false">IF(AA16=0,0,AA20/AA16)</f>
        <v>0.503096479125558</v>
      </c>
      <c r="AB21" s="75" t="n">
        <f aca="false">IF(AB16=0,0,AB20/AB16)</f>
        <v>0.496971105030449</v>
      </c>
    </row>
    <row r="22" customFormat="false" ht="15" hidden="false" customHeight="false" outlineLevel="0" collapsed="false">
      <c r="A22" s="22" t="s">
        <v>1073</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customFormat="false" ht="15" hidden="false" customHeight="false" outlineLevel="0" collapsed="false">
      <c r="A23" s="28" t="s">
        <v>44</v>
      </c>
      <c r="B23" s="62" t="s">
        <v>44</v>
      </c>
      <c r="C23" s="64" t="n">
        <f aca="false">SUM(E23:P23)</f>
        <v>1806423.66872471</v>
      </c>
      <c r="D23" s="64" t="n">
        <f aca="false">SUM(Q23:AB23)</f>
        <v>2329981.37079018</v>
      </c>
      <c r="E23" s="65" t="n">
        <f aca="false">Revenue!E22</f>
        <v>134311.906181818</v>
      </c>
      <c r="F23" s="65" t="n">
        <f aca="false">Revenue!F22</f>
        <v>132718.867227273</v>
      </c>
      <c r="G23" s="65" t="n">
        <f aca="false">Revenue!G22</f>
        <v>137063.120227273</v>
      </c>
      <c r="H23" s="65" t="n">
        <f aca="false">Revenue!H22</f>
        <v>133699.382954545</v>
      </c>
      <c r="I23" s="65" t="n">
        <f aca="false">Revenue!I22</f>
        <v>147104.728318182</v>
      </c>
      <c r="J23" s="65" t="n">
        <f aca="false">Revenue!J22</f>
        <v>149750.988181818</v>
      </c>
      <c r="K23" s="65" t="n">
        <f aca="false">Revenue!K22</f>
        <v>157528.079181818</v>
      </c>
      <c r="L23" s="65" t="n">
        <f aca="false">Revenue!L22</f>
        <v>158956.981545455</v>
      </c>
      <c r="M23" s="65" t="n">
        <f aca="false">Revenue!M22</f>
        <v>180031.033820679</v>
      </c>
      <c r="N23" s="65" t="n">
        <f aca="false">Revenue!N22</f>
        <v>153821.773500634</v>
      </c>
      <c r="O23" s="65" t="n">
        <f aca="false">Revenue!O22</f>
        <v>158888.971659634</v>
      </c>
      <c r="P23" s="65" t="n">
        <f aca="false">Revenue!P22</f>
        <v>162547.835925577</v>
      </c>
      <c r="Q23" s="65" t="n">
        <f aca="false">Revenue!Q22</f>
        <v>170986.561483436</v>
      </c>
      <c r="R23" s="65" t="n">
        <f aca="false">Revenue!R22</f>
        <v>171262.727229513</v>
      </c>
      <c r="S23" s="65" t="n">
        <f aca="false">Revenue!S22</f>
        <v>205048.180200761</v>
      </c>
      <c r="T23" s="65" t="n">
        <f aca="false">Revenue!T22</f>
        <v>177861.366455813</v>
      </c>
      <c r="U23" s="65" t="n">
        <f aca="false">Revenue!U22</f>
        <v>183642.176104954</v>
      </c>
      <c r="V23" s="65" t="n">
        <f aca="false">Revenue!V22</f>
        <v>214204.769888366</v>
      </c>
      <c r="W23" s="65" t="n">
        <f aca="false">Revenue!W22</f>
        <v>187123.949444999</v>
      </c>
      <c r="X23" s="65" t="n">
        <f aca="false">Revenue!X22</f>
        <v>191777.744211925</v>
      </c>
      <c r="Y23" s="65" t="n">
        <f aca="false">Revenue!Y22</f>
        <v>206057.891021445</v>
      </c>
      <c r="Z23" s="65" t="n">
        <f aca="false">Revenue!Z22</f>
        <v>208962.006944267</v>
      </c>
      <c r="AA23" s="65" t="n">
        <f aca="false">Revenue!AA22</f>
        <v>210996.400212729</v>
      </c>
      <c r="AB23" s="65" t="n">
        <f aca="false">Revenue!AB22</f>
        <v>202057.59759197</v>
      </c>
    </row>
    <row r="24" customFormat="false" ht="15" hidden="false" customHeight="false" outlineLevel="0" collapsed="false">
      <c r="A24" s="28" t="s">
        <v>1066</v>
      </c>
      <c r="B24" s="62" t="s">
        <v>57</v>
      </c>
      <c r="C24" s="64" t="n">
        <f aca="false">SUM(E24:P24)</f>
        <v>-560697.021548516</v>
      </c>
      <c r="D24" s="64" t="n">
        <f aca="false">SUM(Q24:AB24)</f>
        <v>-655111.30448976</v>
      </c>
      <c r="E24" s="65" t="n">
        <f aca="false">-Unit_Costs!E40</f>
        <v>-44474.0562486971</v>
      </c>
      <c r="F24" s="65" t="n">
        <f aca="false">-Unit_Costs!F40</f>
        <v>-45228.0644244869</v>
      </c>
      <c r="G24" s="65" t="n">
        <f aca="false">-Unit_Costs!G40</f>
        <v>-44559.7635413654</v>
      </c>
      <c r="H24" s="65" t="n">
        <f aca="false">-Unit_Costs!H40</f>
        <v>-44351.4698968289</v>
      </c>
      <c r="I24" s="65" t="n">
        <f aca="false">-Unit_Costs!I40</f>
        <v>-48143.6214108196</v>
      </c>
      <c r="J24" s="65" t="n">
        <f aca="false">-Unit_Costs!J40</f>
        <v>-48327.9693308169</v>
      </c>
      <c r="K24" s="65" t="n">
        <f aca="false">-Unit_Costs!K40</f>
        <v>-52026.2253169826</v>
      </c>
      <c r="L24" s="65" t="n">
        <f aca="false">-Unit_Costs!L40</f>
        <v>-52138.1819770674</v>
      </c>
      <c r="M24" s="65" t="n">
        <f aca="false">-Unit_Costs!M40</f>
        <v>-52816.8230562562</v>
      </c>
      <c r="N24" s="65" t="n">
        <f aca="false">-Unit_Costs!N40</f>
        <v>-41630.8932622343</v>
      </c>
      <c r="O24" s="65" t="n">
        <f aca="false">-Unit_Costs!O40</f>
        <v>-42867.7047479669</v>
      </c>
      <c r="P24" s="65" t="n">
        <f aca="false">-Unit_Costs!P40</f>
        <v>-44132.248334994</v>
      </c>
      <c r="Q24" s="65" t="n">
        <f aca="false">-Unit_Costs!Q40</f>
        <v>-49496.4105318447</v>
      </c>
      <c r="R24" s="65" t="n">
        <f aca="false">-Unit_Costs!R40</f>
        <v>-50721.4905068675</v>
      </c>
      <c r="S24" s="65" t="n">
        <f aca="false">-Unit_Costs!S40</f>
        <v>-52024.3304426814</v>
      </c>
      <c r="T24" s="65" t="n">
        <f aca="false">-Unit_Costs!T40</f>
        <v>-52477.0635265639</v>
      </c>
      <c r="U24" s="65" t="n">
        <f aca="false">-Unit_Costs!U40</f>
        <v>-54017.5986840849</v>
      </c>
      <c r="V24" s="65" t="n">
        <f aca="false">-Unit_Costs!V40</f>
        <v>-54531.1178928554</v>
      </c>
      <c r="W24" s="65" t="n">
        <f aca="false">-Unit_Costs!W40</f>
        <v>-55116.8742314417</v>
      </c>
      <c r="X24" s="65" t="n">
        <f aca="false">-Unit_Costs!X40</f>
        <v>-55545.626598581</v>
      </c>
      <c r="Y24" s="65" t="n">
        <f aca="false">-Unit_Costs!Y40</f>
        <v>-56492.4561400733</v>
      </c>
      <c r="Z24" s="65" t="n">
        <f aca="false">-Unit_Costs!Z40</f>
        <v>-57301.4821137449</v>
      </c>
      <c r="AA24" s="65" t="n">
        <f aca="false">-Unit_Costs!AA40</f>
        <v>-58258.0060558018</v>
      </c>
      <c r="AB24" s="65" t="n">
        <f aca="false">-Unit_Costs!AB40</f>
        <v>-59128.8477652201</v>
      </c>
    </row>
    <row r="25" customFormat="false" ht="15" hidden="false" customHeight="false" outlineLevel="0" collapsed="false">
      <c r="A25" s="28" t="s">
        <v>1067</v>
      </c>
      <c r="B25" s="62" t="s">
        <v>1068</v>
      </c>
      <c r="C25" s="64" t="n">
        <f aca="false">SUM(E25:P25)</f>
        <v>-23413.8036093565</v>
      </c>
      <c r="D25" s="64" t="n">
        <f aca="false">SUM(Q25:AB25)</f>
        <v>-29011.7040481449</v>
      </c>
      <c r="E25" s="65" t="n">
        <f aca="false">-IF((Credits!E51+Team!E18)=0,0,Receivables!E10*(Credits!E51*Assumptions!$C$127+Team!E18*Assumptions!$C$136)/(Credits!E51+Team!E18))</f>
        <v>-1725.55614413572</v>
      </c>
      <c r="F25" s="65" t="n">
        <f aca="false">-IF((Credits!F51+Team!F18)=0,0,Receivables!F10*(Credits!F51*Assumptions!$C$127+Team!F18*Assumptions!$C$136)/(Credits!F51+Team!F18))</f>
        <v>-1750.53499170162</v>
      </c>
      <c r="G25" s="65" t="n">
        <f aca="false">-IF((Credits!G51+Team!G18)=0,0,Receivables!G10*(Credits!G51*Assumptions!$C$127+Team!G18*Assumptions!$C$136)/(Credits!G51+Team!G18))</f>
        <v>-1851.01195807747</v>
      </c>
      <c r="H25" s="65" t="n">
        <f aca="false">-IF((Credits!H51+Team!H18)=0,0,Receivables!H10*(Credits!H51*Assumptions!$C$127+Team!H18*Assumptions!$C$136)/(Credits!H51+Team!H18))</f>
        <v>-1816.30219377856</v>
      </c>
      <c r="I25" s="65" t="n">
        <f aca="false">-IF((Credits!I51+Team!I18)=0,0,Receivables!I10*(Credits!I51*Assumptions!$C$127+Team!I18*Assumptions!$C$136)/(Credits!I51+Team!I18))</f>
        <v>-1924.80051794271</v>
      </c>
      <c r="J25" s="65" t="n">
        <f aca="false">-IF((Credits!J51+Team!J18)=0,0,Receivables!J10*(Credits!J51*Assumptions!$C$127+Team!J18*Assumptions!$C$136)/(Credits!J51+Team!J18))</f>
        <v>-1962.54468318996</v>
      </c>
      <c r="K25" s="65" t="n">
        <f aca="false">-IF((Credits!K51+Team!K18)=0,0,Receivables!K10*(Credits!K51*Assumptions!$C$127+Team!K18*Assumptions!$C$136)/(Credits!K51+Team!K18))</f>
        <v>-1968.47778676236</v>
      </c>
      <c r="L25" s="65" t="n">
        <f aca="false">-IF((Credits!L51+Team!L18)=0,0,Receivables!L10*(Credits!L51*Assumptions!$C$127+Team!L18*Assumptions!$C$136)/(Credits!L51+Team!L18))</f>
        <v>-1940.70369767197</v>
      </c>
      <c r="M25" s="65" t="n">
        <f aca="false">-IF((Credits!M51+Team!M18)=0,0,Receivables!M10*(Credits!M51*Assumptions!$C$127+Team!M18*Assumptions!$C$136)/(Credits!M51+Team!M18))</f>
        <v>-2067.41280366069</v>
      </c>
      <c r="N25" s="65" t="n">
        <f aca="false">-IF((Credits!N51+Team!N18)=0,0,Receivables!N10*(Credits!N51*Assumptions!$C$127+Team!N18*Assumptions!$C$136)/(Credits!N51+Team!N18))</f>
        <v>-2116.9381881927</v>
      </c>
      <c r="O25" s="65" t="n">
        <f aca="false">-IF((Credits!O51+Team!O18)=0,0,Receivables!O10*(Credits!O51*Assumptions!$C$127+Team!O18*Assumptions!$C$136)/(Credits!O51+Team!O18))</f>
        <v>-2137.02199593015</v>
      </c>
      <c r="P25" s="65" t="n">
        <f aca="false">-IF((Credits!P51+Team!P18)=0,0,Receivables!P10*(Credits!P51*Assumptions!$C$127+Team!P18*Assumptions!$C$136)/(Credits!P51+Team!P18))</f>
        <v>-2152.49864831257</v>
      </c>
      <c r="Q25" s="65" t="n">
        <f aca="false">-IF((Credits!Q51+Team!Q18)=0,0,Receivables!Q10*(Credits!Q51*Assumptions!$C$127+Team!Q18*Assumptions!$C$136)/(Credits!Q51+Team!Q18))</f>
        <v>-2230.7294767046</v>
      </c>
      <c r="R25" s="65" t="n">
        <f aca="false">-IF((Credits!R51+Team!R18)=0,0,Receivables!R10*(Credits!R51*Assumptions!$C$127+Team!R18*Assumptions!$C$136)/(Credits!R51+Team!R18))</f>
        <v>-2261.77927476817</v>
      </c>
      <c r="S25" s="65" t="n">
        <f aca="false">-IF((Credits!S51+Team!S18)=0,0,Receivables!S10*(Credits!S51*Assumptions!$C$127+Team!S18*Assumptions!$C$136)/(Credits!S51+Team!S18))</f>
        <v>-2313.96393030418</v>
      </c>
      <c r="T25" s="65" t="n">
        <f aca="false">-IF((Credits!T51+Team!T18)=0,0,Receivables!T10*(Credits!T51*Assumptions!$C$127+Team!T18*Assumptions!$C$136)/(Credits!T51+Team!T18))</f>
        <v>-2324.5320284374</v>
      </c>
      <c r="U25" s="65" t="n">
        <f aca="false">-IF((Credits!U51+Team!U18)=0,0,Receivables!U10*(Credits!U51*Assumptions!$C$127+Team!U18*Assumptions!$C$136)/(Credits!U51+Team!U18))</f>
        <v>-2347.64474957803</v>
      </c>
      <c r="V25" s="65" t="n">
        <f aca="false">-IF((Credits!V51+Team!V18)=0,0,Receivables!V10*(Credits!V51*Assumptions!$C$127+Team!V18*Assumptions!$C$136)/(Credits!V51+Team!V18))</f>
        <v>-2412.27084222333</v>
      </c>
      <c r="W25" s="65" t="n">
        <f aca="false">-IF((Credits!W51+Team!W18)=0,0,Receivables!W10*(Credits!W51*Assumptions!$C$127+Team!W18*Assumptions!$C$136)/(Credits!W51+Team!W18))</f>
        <v>-2385.09918208548</v>
      </c>
      <c r="X25" s="65" t="n">
        <f aca="false">-IF((Credits!X51+Team!X18)=0,0,Receivables!X10*(Credits!X51*Assumptions!$C$127+Team!X18*Assumptions!$C$136)/(Credits!X51+Team!X18))</f>
        <v>-2332.78208403041</v>
      </c>
      <c r="Y25" s="65" t="n">
        <f aca="false">-IF((Credits!Y51+Team!Y18)=0,0,Receivables!Y10*(Credits!Y51*Assumptions!$C$127+Team!Y18*Assumptions!$C$136)/(Credits!Y51+Team!Y18))</f>
        <v>-2553.8888334523</v>
      </c>
      <c r="Z25" s="65" t="n">
        <f aca="false">-IF((Credits!Z51+Team!Z18)=0,0,Receivables!Z10*(Credits!Z51*Assumptions!$C$127+Team!Z18*Assumptions!$C$136)/(Credits!Z51+Team!Z18))</f>
        <v>-2605.60549410895</v>
      </c>
      <c r="AA25" s="65" t="n">
        <f aca="false">-IF((Credits!AA51+Team!AA18)=0,0,Receivables!AA10*(Credits!AA51*Assumptions!$C$127+Team!AA18*Assumptions!$C$136)/(Credits!AA51+Team!AA18))</f>
        <v>-2624.41600949554</v>
      </c>
      <c r="AB25" s="65" t="n">
        <f aca="false">-IF((Credits!AB51+Team!AB18)=0,0,Receivables!AB10*(Credits!AB51*Assumptions!$C$127+Team!AB18*Assumptions!$C$136)/(Credits!AB51+Team!AB18))</f>
        <v>-2618.99214295649</v>
      </c>
    </row>
    <row r="26" customFormat="false" ht="15" hidden="false" customHeight="false" outlineLevel="0" collapsed="false">
      <c r="A26" s="28" t="s">
        <v>1069</v>
      </c>
      <c r="B26" s="62" t="s">
        <v>1070</v>
      </c>
      <c r="C26" s="64" t="n">
        <f aca="false">SUM(E26:P26)</f>
        <v>-247627.838384843</v>
      </c>
      <c r="D26" s="64" t="n">
        <f aca="false">SUM(Q26:AB26)</f>
        <v>-310190.052405837</v>
      </c>
      <c r="E26" s="65" t="n">
        <f aca="false">-IF(Revenue!E15=0,0,People!E223*E23/Revenue!E15)</f>
        <v>-18743.5883856036</v>
      </c>
      <c r="F26" s="65" t="n">
        <f aca="false">-IF(Revenue!F15=0,0,People!F223*F23/Revenue!F15)</f>
        <v>-18253.4913512902</v>
      </c>
      <c r="G26" s="65" t="n">
        <f aca="false">-IF(Revenue!G15=0,0,People!G223*G23/Revenue!G15)</f>
        <v>-19928.7112999382</v>
      </c>
      <c r="H26" s="65" t="n">
        <f aca="false">-IF(Revenue!H15=0,0,People!H223*H23/Revenue!H15)</f>
        <v>-19522.9316387285</v>
      </c>
      <c r="I26" s="65" t="n">
        <f aca="false">-IF(Revenue!I15=0,0,People!I223*I23/Revenue!I15)</f>
        <v>-21708.9128561819</v>
      </c>
      <c r="J26" s="65" t="n">
        <f aca="false">-IF(Revenue!J15=0,0,People!J223*J23/Revenue!J15)</f>
        <v>-21198.9790972817</v>
      </c>
      <c r="K26" s="65" t="n">
        <f aca="false">-IF(Revenue!K15=0,0,People!K223*K23/Revenue!K15)</f>
        <v>-20067.4554710988</v>
      </c>
      <c r="L26" s="65" t="n">
        <f aca="false">-IF(Revenue!L15=0,0,People!L223*L23/Revenue!L15)</f>
        <v>-16246.5064041464</v>
      </c>
      <c r="M26" s="65" t="n">
        <f aca="false">-IF(Revenue!M15=0,0,People!M223*M23/Revenue!M15)</f>
        <v>-22235.3205431011</v>
      </c>
      <c r="N26" s="65" t="n">
        <f aca="false">-IF(Revenue!N15=0,0,People!N223*N23/Revenue!N15)</f>
        <v>-23325.1412185356</v>
      </c>
      <c r="O26" s="65" t="n">
        <f aca="false">-IF(Revenue!O15=0,0,People!O223*O23/Revenue!O15)</f>
        <v>-23700.0558151912</v>
      </c>
      <c r="P26" s="65" t="n">
        <f aca="false">-IF(Revenue!P15=0,0,People!P223*P23/Revenue!P15)</f>
        <v>-22696.7443037462</v>
      </c>
      <c r="Q26" s="65" t="n">
        <f aca="false">-IF(Revenue!Q15=0,0,People!Q223*Q23/Revenue!Q15)</f>
        <v>-25946.596617812</v>
      </c>
      <c r="R26" s="65" t="n">
        <f aca="false">-IF(Revenue!R15=0,0,People!R223*R23/Revenue!R15)</f>
        <v>-24864.8515664942</v>
      </c>
      <c r="S26" s="65" t="n">
        <f aca="false">-IF(Revenue!S15=0,0,People!S223*S23/Revenue!S15)</f>
        <v>-26030.7061973027</v>
      </c>
      <c r="T26" s="65" t="n">
        <f aca="false">-IF(Revenue!T15=0,0,People!T223*T23/Revenue!T15)</f>
        <v>-26457.8822885595</v>
      </c>
      <c r="U26" s="65" t="n">
        <f aca="false">-IF(Revenue!U15=0,0,People!U223*U23/Revenue!U15)</f>
        <v>-26195.6370827754</v>
      </c>
      <c r="V26" s="65" t="n">
        <f aca="false">-IF(Revenue!V15=0,0,People!V223*V23/Revenue!V15)</f>
        <v>-27080.2716614678</v>
      </c>
      <c r="W26" s="65" t="n">
        <f aca="false">-IF(Revenue!W15=0,0,People!W223*W23/Revenue!W15)</f>
        <v>-24039.5199790152</v>
      </c>
      <c r="X26" s="65" t="n">
        <f aca="false">-IF(Revenue!X15=0,0,People!X223*X23/Revenue!X15)</f>
        <v>-20443.5105038508</v>
      </c>
      <c r="Y26" s="65" t="n">
        <f aca="false">-IF(Revenue!Y15=0,0,People!Y223*Y23/Revenue!Y15)</f>
        <v>-27868.024427</v>
      </c>
      <c r="Z26" s="65" t="n">
        <f aca="false">-IF(Revenue!Z15=0,0,People!Z223*Z23/Revenue!Z15)</f>
        <v>-26685.1785701364</v>
      </c>
      <c r="AA26" s="65" t="n">
        <f aca="false">-IF(Revenue!AA15=0,0,People!AA223*AA23/Revenue!AA15)</f>
        <v>-27997.0222070214</v>
      </c>
      <c r="AB26" s="65" t="n">
        <f aca="false">-IF(Revenue!AB15=0,0,People!AB223*AB23/Revenue!AB15)</f>
        <v>-26580.8513044014</v>
      </c>
    </row>
    <row r="27" customFormat="false" ht="15" hidden="false" customHeight="false" outlineLevel="0" collapsed="false">
      <c r="A27" s="58" t="s">
        <v>1071</v>
      </c>
      <c r="B27" s="59"/>
      <c r="C27" s="60" t="n">
        <f aca="false">SUM(E27:P27)</f>
        <v>974685.00518199</v>
      </c>
      <c r="D27" s="60" t="n">
        <f aca="false">SUM(Q27:AB27)</f>
        <v>1335668.30984644</v>
      </c>
      <c r="E27" s="60" t="n">
        <f aca="false">E23+E24+E25+E26</f>
        <v>69368.7054033818</v>
      </c>
      <c r="F27" s="60" t="n">
        <f aca="false">F23+F24+F25+F26</f>
        <v>67486.7764597941</v>
      </c>
      <c r="G27" s="60" t="n">
        <f aca="false">G23+G24+G25+G26</f>
        <v>70723.6334278917</v>
      </c>
      <c r="H27" s="60" t="n">
        <f aca="false">H23+H24+H25+H26</f>
        <v>68008.6792252095</v>
      </c>
      <c r="I27" s="60" t="n">
        <f aca="false">I23+I24+I25+I26</f>
        <v>75327.3935332376</v>
      </c>
      <c r="J27" s="60" t="n">
        <f aca="false">J23+J24+J25+J26</f>
        <v>78261.4950705296</v>
      </c>
      <c r="K27" s="60" t="n">
        <f aca="false">K23+K24+K25+K26</f>
        <v>83465.9206069744</v>
      </c>
      <c r="L27" s="60" t="n">
        <f aca="false">L23+L24+L25+L26</f>
        <v>88631.5894665687</v>
      </c>
      <c r="M27" s="60" t="n">
        <f aca="false">M23+M24+M25+M26</f>
        <v>102911.477417661</v>
      </c>
      <c r="N27" s="60" t="n">
        <f aca="false">N23+N24+N25+N26</f>
        <v>86748.8008316715</v>
      </c>
      <c r="O27" s="60" t="n">
        <f aca="false">O23+O24+O25+O26</f>
        <v>90184.1891005456</v>
      </c>
      <c r="P27" s="60" t="n">
        <f aca="false">P23+P24+P25+P26</f>
        <v>93566.3446385242</v>
      </c>
      <c r="Q27" s="60" t="n">
        <f aca="false">Q23+Q24+Q25+Q26</f>
        <v>93312.8248570744</v>
      </c>
      <c r="R27" s="60" t="n">
        <f aca="false">R23+R24+R25+R26</f>
        <v>93414.6058813831</v>
      </c>
      <c r="S27" s="60" t="n">
        <f aca="false">S23+S24+S25+S26</f>
        <v>124679.179630473</v>
      </c>
      <c r="T27" s="60" t="n">
        <f aca="false">T23+T24+T25+T26</f>
        <v>96601.8886122518</v>
      </c>
      <c r="U27" s="60" t="n">
        <f aca="false">U23+U24+U25+U26</f>
        <v>101081.295588515</v>
      </c>
      <c r="V27" s="60" t="n">
        <f aca="false">V23+V24+V25+V26</f>
        <v>130181.109491819</v>
      </c>
      <c r="W27" s="60" t="n">
        <f aca="false">W23+W24+W25+W26</f>
        <v>105582.456052457</v>
      </c>
      <c r="X27" s="60" t="n">
        <f aca="false">X23+X24+X25+X26</f>
        <v>113455.825025463</v>
      </c>
      <c r="Y27" s="60" t="n">
        <f aca="false">Y23+Y24+Y25+Y26</f>
        <v>119143.521620919</v>
      </c>
      <c r="Z27" s="60" t="n">
        <f aca="false">Z23+Z24+Z25+Z26</f>
        <v>122369.740766277</v>
      </c>
      <c r="AA27" s="60" t="n">
        <f aca="false">AA23+AA24+AA25+AA26</f>
        <v>122116.95594041</v>
      </c>
      <c r="AB27" s="60" t="n">
        <f aca="false">AB23+AB24+AB25+AB26</f>
        <v>113728.906379392</v>
      </c>
    </row>
    <row r="28" customFormat="false" ht="15" hidden="false" customHeight="false" outlineLevel="0" collapsed="false">
      <c r="A28" s="28" t="s">
        <v>368</v>
      </c>
      <c r="B28" s="62"/>
      <c r="C28" s="66" t="n">
        <f aca="false">IF(C23=0,0,C27/C23)</f>
        <v>0.539566117327335</v>
      </c>
      <c r="D28" s="66" t="n">
        <f aca="false">IF(D23=0,0,D27/D23)</f>
        <v>0.57325278501839</v>
      </c>
      <c r="E28" s="75" t="n">
        <f aca="false">IF(E23=0,0,E27/E23)</f>
        <v>0.516474729421808</v>
      </c>
      <c r="F28" s="75" t="n">
        <f aca="false">IF(F23=0,0,F27/F23)</f>
        <v>0.508494216909094</v>
      </c>
      <c r="G28" s="75" t="n">
        <f aca="false">IF(G23=0,0,G27/G23)</f>
        <v>0.515993166583546</v>
      </c>
      <c r="H28" s="75" t="n">
        <f aca="false">IF(H23=0,0,H27/H23)</f>
        <v>0.508668609550208</v>
      </c>
      <c r="I28" s="75" t="n">
        <f aca="false">IF(I23=0,0,I27/I23)</f>
        <v>0.512066433176147</v>
      </c>
      <c r="J28" s="75" t="n">
        <f aca="false">IF(J23=0,0,J27/J23)</f>
        <v>0.522610875699261</v>
      </c>
      <c r="K28" s="75" t="n">
        <f aca="false">IF(K23=0,0,K27/K23)</f>
        <v>0.529847891502812</v>
      </c>
      <c r="L28" s="75" t="n">
        <f aca="false">IF(L23=0,0,L27/L23)</f>
        <v>0.557582237690039</v>
      </c>
      <c r="M28" s="75" t="n">
        <f aca="false">IF(M23=0,0,M27/M23)</f>
        <v>0.571631874980881</v>
      </c>
      <c r="N28" s="75" t="n">
        <f aca="false">IF(N23=0,0,N27/N23)</f>
        <v>0.563956576871179</v>
      </c>
      <c r="O28" s="75" t="n">
        <f aca="false">IF(O23=0,0,O27/O23)</f>
        <v>0.567592502856239</v>
      </c>
      <c r="P28" s="75" t="n">
        <f aca="false">IF(P23=0,0,P27/P23)</f>
        <v>0.575623440975024</v>
      </c>
      <c r="Q28" s="75" t="n">
        <f aca="false">IF(Q23=0,0,Q27/Q23)</f>
        <v>0.545731922131869</v>
      </c>
      <c r="R28" s="75" t="n">
        <f aca="false">IF(R23=0,0,R27/R23)</f>
        <v>0.545446212334317</v>
      </c>
      <c r="S28" s="75" t="n">
        <f aca="false">IF(S23=0,0,S27/S23)</f>
        <v>0.608048213392582</v>
      </c>
      <c r="T28" s="75" t="n">
        <f aca="false">IF(T23=0,0,T27/T23)</f>
        <v>0.543130251033191</v>
      </c>
      <c r="U28" s="75" t="n">
        <f aca="false">IF(U23=0,0,U27/U23)</f>
        <v>0.550425276657287</v>
      </c>
      <c r="V28" s="75" t="n">
        <f aca="false">IF(V23=0,0,V27/V23)</f>
        <v>0.607741412853056</v>
      </c>
      <c r="W28" s="75" t="n">
        <f aca="false">IF(W23=0,0,W27/W23)</f>
        <v>0.564238069822754</v>
      </c>
      <c r="X28" s="75" t="n">
        <f aca="false">IF(X23=0,0,X27/X23)</f>
        <v>0.59160058166128</v>
      </c>
      <c r="Y28" s="75" t="n">
        <f aca="false">IF(Y23=0,0,Y27/Y23)</f>
        <v>0.578204120358195</v>
      </c>
      <c r="Z28" s="75" t="n">
        <f aca="false">IF(Z23=0,0,Z27/Z23)</f>
        <v>0.585607606644563</v>
      </c>
      <c r="AA28" s="75" t="n">
        <f aca="false">IF(AA23=0,0,AA27/AA23)</f>
        <v>0.578763219738775</v>
      </c>
      <c r="AB28" s="75" t="n">
        <f aca="false">IF(AB23=0,0,AB27/AB23)</f>
        <v>0.562853897773512</v>
      </c>
    </row>
    <row r="29" customFormat="false" ht="15" hidden="false" customHeight="false" outlineLevel="0" collapsed="false">
      <c r="A29" s="22" t="s">
        <v>1074</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1075</v>
      </c>
      <c r="B30" s="62"/>
      <c r="C30" s="64" t="n">
        <f aca="false">SUM(E30:P30)</f>
        <v>1053571.21815162</v>
      </c>
      <c r="D30" s="64" t="n">
        <f aca="false">SUM(Q30:AB30)</f>
        <v>1531023.42874785</v>
      </c>
      <c r="E30" s="65" t="n">
        <f aca="false">Credits!E51</f>
        <v>75510.7959090909</v>
      </c>
      <c r="F30" s="65" t="n">
        <f aca="false">Credits!F51</f>
        <v>81962.1586363636</v>
      </c>
      <c r="G30" s="65" t="n">
        <f aca="false">Credits!G51</f>
        <v>82243.0836363636</v>
      </c>
      <c r="H30" s="65" t="n">
        <f aca="false">Credits!H51</f>
        <v>84029.0972727273</v>
      </c>
      <c r="I30" s="65" t="n">
        <f aca="false">Credits!I51</f>
        <v>82221.3490909091</v>
      </c>
      <c r="J30" s="65" t="n">
        <f aca="false">Credits!J51</f>
        <v>85687.5559090909</v>
      </c>
      <c r="K30" s="65" t="n">
        <f aca="false">Credits!K51</f>
        <v>88344.3359090909</v>
      </c>
      <c r="L30" s="65" t="n">
        <f aca="false">Credits!L51</f>
        <v>86409.2727272727</v>
      </c>
      <c r="M30" s="65" t="n">
        <f aca="false">Credits!M51</f>
        <v>91113.780431591</v>
      </c>
      <c r="N30" s="65" t="n">
        <f aca="false">Credits!N51</f>
        <v>95687.1100549517</v>
      </c>
      <c r="O30" s="65" t="n">
        <f aca="false">Credits!O51</f>
        <v>101214.182875414</v>
      </c>
      <c r="P30" s="65" t="n">
        <f aca="false">Credits!P51</f>
        <v>99148.4956987587</v>
      </c>
      <c r="Q30" s="65" t="n">
        <f aca="false">Credits!Q51</f>
        <v>111475.371006654</v>
      </c>
      <c r="R30" s="65" t="n">
        <f aca="false">Credits!R51</f>
        <v>111811.665017257</v>
      </c>
      <c r="S30" s="65" t="n">
        <f aca="false">Credits!S51</f>
        <v>117330.793714634</v>
      </c>
      <c r="T30" s="65" t="n">
        <f aca="false">Credits!T51</f>
        <v>119396.058284809</v>
      </c>
      <c r="U30" s="65" t="n">
        <f aca="false">Credits!U51</f>
        <v>126101.330458553</v>
      </c>
      <c r="V30" s="65" t="n">
        <f aca="false">Credits!V51</f>
        <v>122409.437122515</v>
      </c>
      <c r="W30" s="65" t="n">
        <f aca="false">Credits!W51</f>
        <v>127598.900460813</v>
      </c>
      <c r="X30" s="65" t="n">
        <f aca="false">Credits!X51</f>
        <v>126499.417589698</v>
      </c>
      <c r="Y30" s="65" t="n">
        <f aca="false">Credits!Y51</f>
        <v>133364.497013951</v>
      </c>
      <c r="Z30" s="65" t="n">
        <f aca="false">Credits!Z51</f>
        <v>140332.714763713</v>
      </c>
      <c r="AA30" s="65" t="n">
        <f aca="false">Credits!AA51</f>
        <v>145640.002187864</v>
      </c>
      <c r="AB30" s="65" t="n">
        <f aca="false">Credits!AB51</f>
        <v>149063.24112739</v>
      </c>
    </row>
    <row r="31" customFormat="false" ht="15" hidden="false" customHeight="false" outlineLevel="0" collapsed="false">
      <c r="A31" s="28" t="s">
        <v>1076</v>
      </c>
      <c r="B31" s="62" t="s">
        <v>1077</v>
      </c>
      <c r="C31" s="64" t="n">
        <f aca="false">SUM(E31:P31)</f>
        <v>-207136.848019365</v>
      </c>
      <c r="D31" s="64" t="n">
        <f aca="false">SUM(Q31:AB31)</f>
        <v>-278102.989367768</v>
      </c>
      <c r="E31" s="65" t="n">
        <f aca="false">-(IF(Revenue!E25=0,0,Unit_Costs!E14*Credits!E65/Revenue!E25)+IF(Revenue!E26=0,0,Unit_Costs!E27*Credits!E66/Revenue!E26)+IF(Revenue!E27=0,0,Unit_Costs!E40*Credits!E67/Revenue!E27))</f>
        <v>-15732.7170058088</v>
      </c>
      <c r="F31" s="65" t="n">
        <f aca="false">-(IF(Revenue!F25=0,0,Unit_Costs!F14*Credits!F65/Revenue!F25)+IF(Revenue!F26=0,0,Unit_Costs!F27*Credits!F66/Revenue!F26)+IF(Revenue!F27=0,0,Unit_Costs!F40*Credits!F67/Revenue!F27))</f>
        <v>-16086.6893365161</v>
      </c>
      <c r="G31" s="65" t="n">
        <f aca="false">-(IF(Revenue!G25=0,0,Unit_Costs!G14*Credits!G65/Revenue!G25)+IF(Revenue!G26=0,0,Unit_Costs!G27*Credits!G66/Revenue!G26)+IF(Revenue!G27=0,0,Unit_Costs!G40*Credits!G67/Revenue!G27))</f>
        <v>-17168.2208489811</v>
      </c>
      <c r="H31" s="65" t="n">
        <f aca="false">-(IF(Revenue!H25=0,0,Unit_Costs!H14*Credits!H65/Revenue!H25)+IF(Revenue!H26=0,0,Unit_Costs!H27*Credits!H66/Revenue!H26)+IF(Revenue!H27=0,0,Unit_Costs!H40*Credits!H67/Revenue!H27))</f>
        <v>-16588.8997328167</v>
      </c>
      <c r="I31" s="65" t="n">
        <f aca="false">-(IF(Revenue!I25=0,0,Unit_Costs!I14*Credits!I65/Revenue!I25)+IF(Revenue!I26=0,0,Unit_Costs!I27*Credits!I66/Revenue!I26)+IF(Revenue!I27=0,0,Unit_Costs!I40*Credits!I67/Revenue!I27))</f>
        <v>-17168.4658357052</v>
      </c>
      <c r="J31" s="65" t="n">
        <f aca="false">-(IF(Revenue!J25=0,0,Unit_Costs!J14*Credits!J65/Revenue!J25)+IF(Revenue!J26=0,0,Unit_Costs!J27*Credits!J66/Revenue!J26)+IF(Revenue!J27=0,0,Unit_Costs!J40*Credits!J67/Revenue!J27))</f>
        <v>-17665.0588664358</v>
      </c>
      <c r="K31" s="65" t="n">
        <f aca="false">-(IF(Revenue!K25=0,0,Unit_Costs!K14*Credits!K65/Revenue!K25)+IF(Revenue!K26=0,0,Unit_Costs!K27*Credits!K66/Revenue!K26)+IF(Revenue!K27=0,0,Unit_Costs!K40*Credits!K67/Revenue!K27))</f>
        <v>-18084.6100553284</v>
      </c>
      <c r="L31" s="65" t="n">
        <f aca="false">-(IF(Revenue!L25=0,0,Unit_Costs!L14*Credits!L65/Revenue!L25)+IF(Revenue!L26=0,0,Unit_Costs!L27*Credits!L66/Revenue!L26)+IF(Revenue!L27=0,0,Unit_Costs!L40*Credits!L67/Revenue!L27))</f>
        <v>-18005.0869112318</v>
      </c>
      <c r="M31" s="65" t="n">
        <f aca="false">-(IF(Revenue!M25=0,0,Unit_Costs!M14*Credits!M65/Revenue!M25)+IF(Revenue!M26=0,0,Unit_Costs!M27*Credits!M66/Revenue!M26)+IF(Revenue!M27=0,0,Unit_Costs!M40*Credits!M67/Revenue!M27))</f>
        <v>-18783.2728258134</v>
      </c>
      <c r="N31" s="65" t="n">
        <f aca="false">-(IF(Revenue!N25=0,0,Unit_Costs!N14*Credits!N65/Revenue!N25)+IF(Revenue!N26=0,0,Unit_Costs!N27*Credits!N66/Revenue!N26)+IF(Revenue!N27=0,0,Unit_Costs!N40*Credits!N67/Revenue!N27))</f>
        <v>-16809.2801197253</v>
      </c>
      <c r="O31" s="65" t="n">
        <f aca="false">-(IF(Revenue!O25=0,0,Unit_Costs!O14*Credits!O65/Revenue!O25)+IF(Revenue!O26=0,0,Unit_Costs!O27*Credits!O66/Revenue!O26)+IF(Revenue!O27=0,0,Unit_Costs!O40*Credits!O67/Revenue!O27))</f>
        <v>-17345.5798713467</v>
      </c>
      <c r="P31" s="65" t="n">
        <f aca="false">-(IF(Revenue!P25=0,0,Unit_Costs!P14*Credits!P65/Revenue!P25)+IF(Revenue!P26=0,0,Unit_Costs!P27*Credits!P66/Revenue!P26)+IF(Revenue!P27=0,0,Unit_Costs!P40*Credits!P67/Revenue!P27))</f>
        <v>-17698.966609656</v>
      </c>
      <c r="Q31" s="65" t="n">
        <f aca="false">-(IF(Revenue!Q25=0,0,Unit_Costs!Q14*Credits!Q65/Revenue!Q25)+IF(Revenue!Q26=0,0,Unit_Costs!Q27*Credits!Q66/Revenue!Q26)+IF(Revenue!Q27=0,0,Unit_Costs!Q40*Credits!Q67/Revenue!Q27))</f>
        <v>-20224.9465404643</v>
      </c>
      <c r="R31" s="65" t="n">
        <f aca="false">-(IF(Revenue!R25=0,0,Unit_Costs!R14*Credits!R65/Revenue!R25)+IF(Revenue!R26=0,0,Unit_Costs!R27*Credits!R66/Revenue!R26)+IF(Revenue!R27=0,0,Unit_Costs!R40*Credits!R67/Revenue!R27))</f>
        <v>-20784.6533275819</v>
      </c>
      <c r="S31" s="65" t="n">
        <f aca="false">-(IF(Revenue!S25=0,0,Unit_Costs!S14*Credits!S65/Revenue!S25)+IF(Revenue!S26=0,0,Unit_Costs!S27*Credits!S66/Revenue!S26)+IF(Revenue!S27=0,0,Unit_Costs!S40*Credits!S67/Revenue!S27))</f>
        <v>-21509.1568738287</v>
      </c>
      <c r="T31" s="65" t="n">
        <f aca="false">-(IF(Revenue!T25=0,0,Unit_Costs!T14*Credits!T65/Revenue!T25)+IF(Revenue!T26=0,0,Unit_Costs!T27*Credits!T66/Revenue!T26)+IF(Revenue!T27=0,0,Unit_Costs!T40*Credits!T67/Revenue!T27))</f>
        <v>-21929.9959211283</v>
      </c>
      <c r="U31" s="65" t="n">
        <f aca="false">-(IF(Revenue!U25=0,0,Unit_Costs!U14*Credits!U65/Revenue!U25)+IF(Revenue!U26=0,0,Unit_Costs!U27*Credits!U66/Revenue!U26)+IF(Revenue!U27=0,0,Unit_Costs!U40*Credits!U67/Revenue!U27))</f>
        <v>-22381.4588170443</v>
      </c>
      <c r="V31" s="65" t="n">
        <f aca="false">-(IF(Revenue!V25=0,0,Unit_Costs!V14*Credits!V65/Revenue!V25)+IF(Revenue!V26=0,0,Unit_Costs!V27*Credits!V66/Revenue!V26)+IF(Revenue!V27=0,0,Unit_Costs!V40*Credits!V67/Revenue!V27))</f>
        <v>-22963.3861826067</v>
      </c>
      <c r="W31" s="65" t="n">
        <f aca="false">-(IF(Revenue!W25=0,0,Unit_Costs!W14*Credits!W65/Revenue!W25)+IF(Revenue!W26=0,0,Unit_Costs!W27*Credits!W66/Revenue!W26)+IF(Revenue!W27=0,0,Unit_Costs!W40*Credits!W67/Revenue!W27))</f>
        <v>-23158.2631794649</v>
      </c>
      <c r="X31" s="65" t="n">
        <f aca="false">-(IF(Revenue!X25=0,0,Unit_Costs!X14*Credits!X65/Revenue!X25)+IF(Revenue!X26=0,0,Unit_Costs!X27*Credits!X66/Revenue!X26)+IF(Revenue!X27=0,0,Unit_Costs!X40*Credits!X67/Revenue!X27))</f>
        <v>-22974.0320027981</v>
      </c>
      <c r="Y31" s="65" t="n">
        <f aca="false">-(IF(Revenue!Y25=0,0,Unit_Costs!Y14*Credits!Y65/Revenue!Y25)+IF(Revenue!Y26=0,0,Unit_Costs!Y27*Credits!Y66/Revenue!Y26)+IF(Revenue!Y27=0,0,Unit_Costs!Y40*Credits!Y67/Revenue!Y27))</f>
        <v>-24112.1409092454</v>
      </c>
      <c r="Z31" s="65" t="n">
        <f aca="false">-(IF(Revenue!Z25=0,0,Unit_Costs!Z14*Credits!Z65/Revenue!Z25)+IF(Revenue!Z26=0,0,Unit_Costs!Z27*Credits!Z66/Revenue!Z26)+IF(Revenue!Z27=0,0,Unit_Costs!Z40*Credits!Z67/Revenue!Z27))</f>
        <v>-25241.4904525051</v>
      </c>
      <c r="AA31" s="65" t="n">
        <f aca="false">-(IF(Revenue!AA25=0,0,Unit_Costs!AA14*Credits!AA65/Revenue!AA25)+IF(Revenue!AA26=0,0,Unit_Costs!AA27*Credits!AA66/Revenue!AA26)+IF(Revenue!AA27=0,0,Unit_Costs!AA40*Credits!AA67/Revenue!AA27))</f>
        <v>-26122.5767470089</v>
      </c>
      <c r="AB31" s="65" t="n">
        <f aca="false">-(IF(Revenue!AB25=0,0,Unit_Costs!AB14*Credits!AB65/Revenue!AB25)+IF(Revenue!AB26=0,0,Unit_Costs!AB27*Credits!AB66/Revenue!AB26)+IF(Revenue!AB27=0,0,Unit_Costs!AB40*Credits!AB67/Revenue!AB27))</f>
        <v>-26700.8884140914</v>
      </c>
    </row>
    <row r="32" customFormat="false" ht="15" hidden="false" customHeight="false" outlineLevel="0" collapsed="false">
      <c r="A32" s="28" t="s">
        <v>1078</v>
      </c>
      <c r="B32" s="62"/>
      <c r="C32" s="64" t="n">
        <f aca="false">SUM(E32:P32)</f>
        <v>-23225.1458811188</v>
      </c>
      <c r="D32" s="64" t="n">
        <f aca="false">SUM(Q32:AB32)</f>
        <v>-33830.0020463833</v>
      </c>
      <c r="E32" s="65" t="n">
        <f aca="false">-IF((Credits!E51+Team!E18)=0,0,Receivables!E10*Credits!E51/(Credits!E51+Team!E18))</f>
        <v>-1656.24570576188</v>
      </c>
      <c r="F32" s="65" t="n">
        <f aca="false">-IF((Credits!F51+Team!F18)=0,0,Receivables!F10*Credits!F51/(Credits!F51+Team!F18))</f>
        <v>-1776.88338865586</v>
      </c>
      <c r="G32" s="65" t="n">
        <f aca="false">-IF((Credits!G51+Team!G18)=0,0,Receivables!G10*Credits!G51/(Credits!G51+Team!G18))</f>
        <v>-1827.57027948355</v>
      </c>
      <c r="H32" s="65" t="n">
        <f aca="false">-IF((Credits!H51+Team!H18)=0,0,Receivables!H10*Credits!H51/(Credits!H51+Team!H18))</f>
        <v>-1803.93537480959</v>
      </c>
      <c r="I32" s="65" t="n">
        <f aca="false">-IF((Credits!I51+Team!I18)=0,0,Receivables!I10*Credits!I51/(Credits!I51+Team!I18))</f>
        <v>-1819.60321371528</v>
      </c>
      <c r="J32" s="65" t="n">
        <f aca="false">-IF((Credits!J51+Team!J18)=0,0,Receivables!J10*Credits!J51/(Credits!J51+Team!J18))</f>
        <v>-1866.61877873363</v>
      </c>
      <c r="K32" s="65" t="n">
        <f aca="false">-IF((Credits!K51+Team!K18)=0,0,Receivables!K10*Credits!K51/(Credits!K51+Team!K18))</f>
        <v>-1921.54142158429</v>
      </c>
      <c r="L32" s="65" t="n">
        <f aca="false">-IF((Credits!L51+Team!L18)=0,0,Receivables!L10*Credits!L51/(Credits!L51+Team!L18))</f>
        <v>-1858.06201552022</v>
      </c>
      <c r="M32" s="65" t="n">
        <f aca="false">-IF((Credits!M51+Team!M18)=0,0,Receivables!M10*Credits!M51/(Credits!M51+Team!M18))</f>
        <v>-2066.60044650962</v>
      </c>
      <c r="N32" s="65" t="n">
        <f aca="false">-IF((Credits!N51+Team!N18)=0,0,Receivables!N10*Credits!N51/(Credits!N51+Team!N18))</f>
        <v>-2165.26801630646</v>
      </c>
      <c r="O32" s="65" t="n">
        <f aca="false">-IF((Credits!O51+Team!O18)=0,0,Receivables!O10*Credits!O51/(Credits!O51+Team!O18))</f>
        <v>-2253.65063220392</v>
      </c>
      <c r="P32" s="65" t="n">
        <f aca="false">-IF((Credits!P51+Team!P18)=0,0,Receivables!P10*Credits!P51/(Credits!P51+Team!P18))</f>
        <v>-2209.16660783455</v>
      </c>
      <c r="Q32" s="65" t="n">
        <f aca="false">-IF((Credits!Q51+Team!Q18)=0,0,Receivables!Q10*Credits!Q51/(Credits!Q51+Team!Q18))</f>
        <v>-2474.5539681894</v>
      </c>
      <c r="R32" s="65" t="n">
        <f aca="false">-IF((Credits!R51+Team!R18)=0,0,Receivables!R10*Credits!R51/(Credits!R51+Team!R18))</f>
        <v>-2483.91046794396</v>
      </c>
      <c r="S32" s="65" t="n">
        <f aca="false">-IF((Credits!S51+Team!S18)=0,0,Receivables!S10*Credits!S51/(Credits!S51+Team!S18))</f>
        <v>-2604.71213879916</v>
      </c>
      <c r="T32" s="65" t="n">
        <f aca="false">-IF((Credits!T51+Team!T18)=0,0,Receivables!T10*Credits!T51/(Credits!T51+Team!T18))</f>
        <v>-2625.39293774349</v>
      </c>
      <c r="U32" s="65" t="n">
        <f aca="false">-IF((Credits!U51+Team!U18)=0,0,Receivables!U10*Credits!U51/(Credits!U51+Team!U18))</f>
        <v>-2739.93899082178</v>
      </c>
      <c r="V32" s="65" t="n">
        <f aca="false">-IF((Credits!V51+Team!V18)=0,0,Receivables!V10*Credits!V51/(Credits!V51+Team!V18))</f>
        <v>-2725.51195798223</v>
      </c>
      <c r="W32" s="65" t="n">
        <f aca="false">-IF((Credits!W51+Team!W18)=0,0,Receivables!W10*Credits!W51/(Credits!W51+Team!W18))</f>
        <v>-2765.41241892246</v>
      </c>
      <c r="X32" s="65" t="n">
        <f aca="false">-IF((Credits!X51+Team!X18)=0,0,Receivables!X10*Credits!X51/(Credits!X51+Team!X18))</f>
        <v>-2681.86053005238</v>
      </c>
      <c r="Y32" s="65" t="n">
        <f aca="false">-IF((Credits!Y51+Team!Y18)=0,0,Receivables!Y10*Credits!Y51/(Credits!Y51+Team!Y18))</f>
        <v>-3023.64397144943</v>
      </c>
      <c r="Z32" s="65" t="n">
        <f aca="false">-IF((Credits!Z51+Team!Z18)=0,0,Receivables!Z10*Credits!Z51/(Credits!Z51+Team!Z18))</f>
        <v>-3170.9467041485</v>
      </c>
      <c r="AA32" s="65" t="n">
        <f aca="false">-IF((Credits!AA51+Team!AA18)=0,0,Receivables!AA10*Credits!AA51/(Credits!AA51+Team!AA18))</f>
        <v>-3253.40755670812</v>
      </c>
      <c r="AB32" s="65" t="n">
        <f aca="false">-IF((Credits!AB51+Team!AB18)=0,0,Receivables!AB10*Credits!AB51/(Credits!AB51+Team!AB18))</f>
        <v>-3280.71040362239</v>
      </c>
    </row>
    <row r="33" customFormat="false" ht="15" hidden="false" customHeight="false" outlineLevel="0" collapsed="false">
      <c r="A33" s="28" t="s">
        <v>1079</v>
      </c>
      <c r="B33" s="62" t="s">
        <v>1070</v>
      </c>
      <c r="C33" s="64" t="n">
        <f aca="false">SUM(E33:P33)</f>
        <v>-145092.527968352</v>
      </c>
      <c r="D33" s="64" t="n">
        <f aca="false">SUM(Q33:AB33)</f>
        <v>-204037.573697558</v>
      </c>
      <c r="E33" s="65" t="n">
        <f aca="false">-IF(Revenue!E15=0,0,People!E223*E30/Revenue!E15)</f>
        <v>-10537.7350186168</v>
      </c>
      <c r="F33" s="65" t="n">
        <f aca="false">-IF(Revenue!F15=0,0,People!F223*F30/Revenue!F15)</f>
        <v>-11272.6666905615</v>
      </c>
      <c r="G33" s="65" t="n">
        <f aca="false">-IF(Revenue!G15=0,0,People!G223*G30/Revenue!G15)</f>
        <v>-11957.9845219344</v>
      </c>
      <c r="H33" s="65" t="n">
        <f aca="false">-IF(Revenue!H15=0,0,People!H223*H30/Revenue!H15)</f>
        <v>-12270.0216371025</v>
      </c>
      <c r="I33" s="65" t="n">
        <f aca="false">-IF(Revenue!I15=0,0,People!I223*I30/Revenue!I15)</f>
        <v>-12133.7779059794</v>
      </c>
      <c r="J33" s="65" t="n">
        <f aca="false">-IF(Revenue!J15=0,0,People!J223*J30/Revenue!J15)</f>
        <v>-12130.0615686657</v>
      </c>
      <c r="K33" s="65" t="n">
        <f aca="false">-IF(Revenue!K15=0,0,People!K223*K30/Revenue!K15)</f>
        <v>-11254.1588533767</v>
      </c>
      <c r="L33" s="65" t="n">
        <f aca="false">-IF(Revenue!L15=0,0,People!L223*L30/Revenue!L15)</f>
        <v>-8831.62720562754</v>
      </c>
      <c r="M33" s="65" t="n">
        <f aca="false">-IF(Revenue!M15=0,0,People!M223*M30/Revenue!M15)</f>
        <v>-11253.3048930226</v>
      </c>
      <c r="N33" s="65" t="n">
        <f aca="false">-IF(Revenue!N15=0,0,People!N223*N30/Revenue!N15)</f>
        <v>-14509.7491989072</v>
      </c>
      <c r="O33" s="65" t="n">
        <f aca="false">-IF(Revenue!O15=0,0,People!O223*O30/Revenue!O15)</f>
        <v>-15097.2201429742</v>
      </c>
      <c r="P33" s="65" t="n">
        <f aca="false">-IF(Revenue!P15=0,0,People!P223*P30/Revenue!P15)</f>
        <v>-13844.2203315837</v>
      </c>
      <c r="Q33" s="65" t="n">
        <f aca="false">-IF(Revenue!Q15=0,0,People!Q223*Q30/Revenue!Q15)</f>
        <v>-16915.9871935946</v>
      </c>
      <c r="R33" s="65" t="n">
        <f aca="false">-IF(Revenue!R15=0,0,People!R223*R30/Revenue!R15)</f>
        <v>-16233.4239272675</v>
      </c>
      <c r="S33" s="65" t="n">
        <f aca="false">-IF(Revenue!S15=0,0,People!S223*S30/Revenue!S15)</f>
        <v>-14895.0525485846</v>
      </c>
      <c r="T33" s="65" t="n">
        <f aca="false">-IF(Revenue!T15=0,0,People!T223*T30/Revenue!T15)</f>
        <v>-17760.8376611808</v>
      </c>
      <c r="U33" s="65" t="n">
        <f aca="false">-IF(Revenue!U15=0,0,People!U223*U30/Revenue!U15)</f>
        <v>-17987.7235088932</v>
      </c>
      <c r="V33" s="65" t="n">
        <f aca="false">-IF(Revenue!V15=0,0,People!V223*V30/Revenue!V15)</f>
        <v>-15475.2894295147</v>
      </c>
      <c r="W33" s="65" t="n">
        <f aca="false">-IF(Revenue!W15=0,0,People!W223*W30/Revenue!W15)</f>
        <v>-16392.4303972095</v>
      </c>
      <c r="X33" s="65" t="n">
        <f aca="false">-IF(Revenue!X15=0,0,People!X223*X30/Revenue!X15)</f>
        <v>-13484.8398746844</v>
      </c>
      <c r="Y33" s="65" t="n">
        <f aca="false">-IF(Revenue!Y15=0,0,People!Y223*Y30/Revenue!Y15)</f>
        <v>-18036.7033849364</v>
      </c>
      <c r="Z33" s="65" t="n">
        <f aca="false">-IF(Revenue!Z15=0,0,People!Z223*Z30/Revenue!Z15)</f>
        <v>-17920.9781120665</v>
      </c>
      <c r="AA33" s="65" t="n">
        <f aca="false">-IF(Revenue!AA15=0,0,People!AA223*AA30/Revenue!AA15)</f>
        <v>-19324.9096732139</v>
      </c>
      <c r="AB33" s="65" t="n">
        <f aca="false">-IF(Revenue!AB15=0,0,People!AB223*AB30/Revenue!AB15)</f>
        <v>-19609.3979864123</v>
      </c>
    </row>
    <row r="34" customFormat="false" ht="15" hidden="false" customHeight="false" outlineLevel="0" collapsed="false">
      <c r="A34" s="58" t="s">
        <v>1080</v>
      </c>
      <c r="B34" s="59"/>
      <c r="C34" s="60" t="n">
        <f aca="false">SUM(E34:P34)</f>
        <v>678116.696282788</v>
      </c>
      <c r="D34" s="60" t="n">
        <f aca="false">SUM(Q34:AB34)</f>
        <v>1015052.86363614</v>
      </c>
      <c r="E34" s="60" t="n">
        <f aca="false">E30+E31+E32+E33</f>
        <v>47584.0981789034</v>
      </c>
      <c r="F34" s="60" t="n">
        <f aca="false">F30+F31+F32+F33</f>
        <v>52825.9192206302</v>
      </c>
      <c r="G34" s="60" t="n">
        <f aca="false">G30+G31+G32+G33</f>
        <v>51289.3079859646</v>
      </c>
      <c r="H34" s="60" t="n">
        <f aca="false">H30+H31+H32+H33</f>
        <v>53366.2405279985</v>
      </c>
      <c r="I34" s="60" t="n">
        <f aca="false">I30+I31+I32+I33</f>
        <v>51099.5021355092</v>
      </c>
      <c r="J34" s="60" t="n">
        <f aca="false">J30+J31+J32+J33</f>
        <v>54025.8166952558</v>
      </c>
      <c r="K34" s="60" t="n">
        <f aca="false">K30+K31+K32+K33</f>
        <v>57084.0255788016</v>
      </c>
      <c r="L34" s="60" t="n">
        <f aca="false">L30+L31+L32+L33</f>
        <v>57714.4965948932</v>
      </c>
      <c r="M34" s="60" t="n">
        <f aca="false">M30+M31+M32+M33</f>
        <v>59010.6022662454</v>
      </c>
      <c r="N34" s="60" t="n">
        <f aca="false">N30+N31+N32+N33</f>
        <v>62202.8127200128</v>
      </c>
      <c r="O34" s="60" t="n">
        <f aca="false">O30+O31+O32+O33</f>
        <v>66517.7322288891</v>
      </c>
      <c r="P34" s="60" t="n">
        <f aca="false">P30+P31+P32+P33</f>
        <v>65396.1421496845</v>
      </c>
      <c r="Q34" s="60" t="n">
        <f aca="false">Q30+Q31+Q32+Q33</f>
        <v>71859.8833044054</v>
      </c>
      <c r="R34" s="60" t="n">
        <f aca="false">R30+R31+R32+R33</f>
        <v>72309.6772944633</v>
      </c>
      <c r="S34" s="60" t="n">
        <f aca="false">S30+S31+S32+S33</f>
        <v>78321.872153422</v>
      </c>
      <c r="T34" s="60" t="n">
        <f aca="false">T30+T31+T32+T33</f>
        <v>77079.8317647569</v>
      </c>
      <c r="U34" s="60" t="n">
        <f aca="false">U30+U31+U32+U33</f>
        <v>82992.2091417935</v>
      </c>
      <c r="V34" s="60" t="n">
        <f aca="false">V30+V31+V32+V33</f>
        <v>81245.2495524112</v>
      </c>
      <c r="W34" s="60" t="n">
        <f aca="false">W30+W31+W32+W33</f>
        <v>85282.7944652166</v>
      </c>
      <c r="X34" s="60" t="n">
        <f aca="false">X30+X31+X32+X33</f>
        <v>87358.6851821633</v>
      </c>
      <c r="Y34" s="60" t="n">
        <f aca="false">Y30+Y31+Y32+Y33</f>
        <v>88192.0087483197</v>
      </c>
      <c r="Z34" s="60" t="n">
        <f aca="false">Z30+Z31+Z32+Z33</f>
        <v>93999.2994949928</v>
      </c>
      <c r="AA34" s="60" t="n">
        <f aca="false">AA30+AA31+AA32+AA33</f>
        <v>96939.1082109327</v>
      </c>
      <c r="AB34" s="60" t="n">
        <f aca="false">AB30+AB31+AB32+AB33</f>
        <v>99472.2443232639</v>
      </c>
    </row>
    <row r="35" customFormat="false" ht="15" hidden="false" customHeight="false" outlineLevel="0" collapsed="false">
      <c r="A35" s="28" t="s">
        <v>1081</v>
      </c>
      <c r="B35" s="62"/>
      <c r="C35" s="66" t="n">
        <f aca="false">IF(C30=0,0,C34/C30)</f>
        <v>0.643636314849669</v>
      </c>
      <c r="D35" s="66" t="n">
        <f aca="false">IF(D30=0,0,D34/D30)</f>
        <v>0.662989765261988</v>
      </c>
      <c r="E35" s="75" t="n">
        <f aca="false">IF(E30=0,0,E34/E30)</f>
        <v>0.63016284765679</v>
      </c>
      <c r="F35" s="75" t="n">
        <f aca="false">IF(F30=0,0,F34/F30)</f>
        <v>0.64451595833389</v>
      </c>
      <c r="G35" s="75" t="n">
        <f aca="false">IF(G30=0,0,G34/G30)</f>
        <v>0.623630653402289</v>
      </c>
      <c r="H35" s="75" t="n">
        <f aca="false">IF(H30=0,0,H34/H30)</f>
        <v>0.635092393707283</v>
      </c>
      <c r="I35" s="75" t="n">
        <f aca="false">IF(I30=0,0,I34/I30)</f>
        <v>0.621487031050907</v>
      </c>
      <c r="J35" s="75" t="n">
        <f aca="false">IF(J30=0,0,J34/J30)</f>
        <v>0.630497814088358</v>
      </c>
      <c r="K35" s="75" t="n">
        <f aca="false">IF(K30=0,0,K34/K30)</f>
        <v>0.6461537685624</v>
      </c>
      <c r="L35" s="75" t="n">
        <f aca="false">IF(L30=0,0,L34/L30)</f>
        <v>0.667920175385034</v>
      </c>
      <c r="M35" s="75" t="n">
        <f aca="false">IF(M30=0,0,M34/M30)</f>
        <v>0.647658367227459</v>
      </c>
      <c r="N35" s="75" t="n">
        <f aca="false">IF(N30=0,0,N34/N30)</f>
        <v>0.650064702385626</v>
      </c>
      <c r="O35" s="75" t="n">
        <f aca="false">IF(O30=0,0,O34/O30)</f>
        <v>0.657197739873737</v>
      </c>
      <c r="P35" s="75" t="n">
        <f aca="false">IF(P30=0,0,P34/P30)</f>
        <v>0.659577754445983</v>
      </c>
      <c r="Q35" s="75" t="n">
        <f aca="false">IF(Q30=0,0,Q34/Q30)</f>
        <v>0.644625648297831</v>
      </c>
      <c r="R35" s="75" t="n">
        <f aca="false">IF(R30=0,0,R34/R30)</f>
        <v>0.646709601214715</v>
      </c>
      <c r="S35" s="75" t="n">
        <f aca="false">IF(S30=0,0,S34/S30)</f>
        <v>0.667530404199874</v>
      </c>
      <c r="T35" s="75" t="n">
        <f aca="false">IF(T30=0,0,T34/T30)</f>
        <v>0.645581042389936</v>
      </c>
      <c r="U35" s="75" t="n">
        <f aca="false">IF(U30=0,0,U34/U30)</f>
        <v>0.65813904452873</v>
      </c>
      <c r="V35" s="75" t="n">
        <f aca="false">IF(V30=0,0,V34/V30)</f>
        <v>0.663717205652176</v>
      </c>
      <c r="W35" s="75" t="n">
        <f aca="false">IF(W30=0,0,W34/W30)</f>
        <v>0.668366217555358</v>
      </c>
      <c r="X35" s="75" t="n">
        <f aca="false">IF(X30=0,0,X34/X30)</f>
        <v>0.690585671038517</v>
      </c>
      <c r="Y35" s="75" t="n">
        <f aca="false">IF(Y30=0,0,Y34/Y30)</f>
        <v>0.661285504935351</v>
      </c>
      <c r="Z35" s="75" t="n">
        <f aca="false">IF(Z30=0,0,Z34/Z30)</f>
        <v>0.669831690018007</v>
      </c>
      <c r="AA35" s="75" t="n">
        <f aca="false">IF(AA30=0,0,AA34/AA30)</f>
        <v>0.665607709109268</v>
      </c>
      <c r="AB35" s="75" t="n">
        <f aca="false">IF(AB30=0,0,AB34/AB30)</f>
        <v>0.667315721642296</v>
      </c>
    </row>
    <row r="36" customFormat="false" ht="15" hidden="false" customHeight="false" outlineLevel="0" collapsed="false">
      <c r="A36" s="28" t="s">
        <v>1082</v>
      </c>
      <c r="B36" s="62"/>
      <c r="C36" s="64" t="n">
        <f aca="false">SUM(E36:P36)</f>
        <v>2433455.80952251</v>
      </c>
      <c r="D36" s="64" t="n">
        <f aca="false">SUM(Q36:AB36)</f>
        <v>2877021.22658795</v>
      </c>
      <c r="E36" s="65" t="n">
        <f aca="false">Team!E18</f>
        <v>181624.59</v>
      </c>
      <c r="F36" s="65" t="n">
        <f aca="false">Team!F18</f>
        <v>183869.59</v>
      </c>
      <c r="G36" s="65" t="n">
        <f aca="false">Team!G18</f>
        <v>190998.21</v>
      </c>
      <c r="H36" s="65" t="n">
        <f aca="false">Team!H18</f>
        <v>193712.39</v>
      </c>
      <c r="I36" s="65" t="n">
        <f aca="false">Team!I18</f>
        <v>201515.91</v>
      </c>
      <c r="J36" s="65" t="n">
        <f aca="false">Team!J18</f>
        <v>208438.7</v>
      </c>
      <c r="K36" s="65" t="n">
        <f aca="false">Team!K18</f>
        <v>208095.44</v>
      </c>
      <c r="L36" s="65" t="n">
        <f aca="false">Team!L18</f>
        <v>208487.64</v>
      </c>
      <c r="M36" s="65" t="n">
        <f aca="false">Team!M18</f>
        <v>208362.400391317</v>
      </c>
      <c r="N36" s="65" t="n">
        <f aca="false">Team!N18</f>
        <v>212611.158638154</v>
      </c>
      <c r="O36" s="65" t="n">
        <f aca="false">Team!O18</f>
        <v>216381.179459176</v>
      </c>
      <c r="P36" s="65" t="n">
        <f aca="false">Team!P18</f>
        <v>219358.601033861</v>
      </c>
      <c r="Q36" s="65" t="n">
        <f aca="false">Team!Q18</f>
        <v>223418.077627166</v>
      </c>
      <c r="R36" s="65" t="n">
        <f aca="false">Team!R18</f>
        <v>227000.67508792</v>
      </c>
      <c r="S36" s="65" t="n">
        <f aca="false">Team!S18</f>
        <v>230764.887229039</v>
      </c>
      <c r="T36" s="65" t="n">
        <f aca="false">Team!T18</f>
        <v>233812.780469032</v>
      </c>
      <c r="U36" s="65" t="n">
        <f aca="false">Team!U18</f>
        <v>236646.703972445</v>
      </c>
      <c r="V36" s="65" t="n">
        <f aca="false">Team!V18</f>
        <v>239597.490649964</v>
      </c>
      <c r="W36" s="65" t="n">
        <f aca="false">Team!W18</f>
        <v>241517.389934856</v>
      </c>
      <c r="X36" s="65" t="n">
        <f aca="false">Team!X18</f>
        <v>242097.191670149</v>
      </c>
      <c r="Y36" s="65" t="n">
        <f aca="false">Team!Y18</f>
        <v>245634.312842516</v>
      </c>
      <c r="Z36" s="65" t="n">
        <f aca="false">Team!Z18</f>
        <v>249275.875657279</v>
      </c>
      <c r="AA36" s="65" t="n">
        <f aca="false">Team!AA18</f>
        <v>252442.744695001</v>
      </c>
      <c r="AB36" s="65" t="n">
        <f aca="false">Team!AB18</f>
        <v>254813.096752584</v>
      </c>
    </row>
    <row r="37" customFormat="false" ht="15" hidden="false" customHeight="false" outlineLevel="0" collapsed="false">
      <c r="A37" s="28" t="s">
        <v>1083</v>
      </c>
      <c r="B37" s="62" t="s">
        <v>1077</v>
      </c>
      <c r="C37" s="64" t="n">
        <f aca="false">SUM(E37:P37)</f>
        <v>-505885.18444662</v>
      </c>
      <c r="D37" s="64" t="n">
        <f aca="false">SUM(Q37:AB37)</f>
        <v>-552961.619097934</v>
      </c>
      <c r="E37" s="65" t="n">
        <f aca="false">-(IF(Revenue!E25=0,0,Unit_Costs!E14*Team!E23/Revenue!E25)+IF(Revenue!E26=0,0,Unit_Costs!E27*Team!E24/Revenue!E26)+IF(Revenue!E27=0,0,Unit_Costs!E40*Team!E25/Revenue!E27))</f>
        <v>-40179.5892153408</v>
      </c>
      <c r="F37" s="65" t="n">
        <f aca="false">-(IF(Revenue!F25=0,0,Unit_Costs!F14*Team!F23/Revenue!F25)+IF(Revenue!F26=0,0,Unit_Costs!F27*Team!F24/Revenue!F26)+IF(Revenue!F27=0,0,Unit_Costs!F40*Team!F25/Revenue!F27))</f>
        <v>-39705.6925929377</v>
      </c>
      <c r="G37" s="65" t="n">
        <f aca="false">-(IF(Revenue!G25=0,0,Unit_Costs!G14*Team!G23/Revenue!G25)+IF(Revenue!G26=0,0,Unit_Costs!G27*Team!G24/Revenue!G26)+IF(Revenue!G27=0,0,Unit_Costs!G40*Team!G25/Revenue!G27))</f>
        <v>-42315.1452109509</v>
      </c>
      <c r="H37" s="65" t="n">
        <f aca="false">-(IF(Revenue!H25=0,0,Unit_Costs!H14*Team!H23/Revenue!H25)+IF(Revenue!H26=0,0,Unit_Costs!H27*Team!H24/Revenue!H26)+IF(Revenue!H27=0,0,Unit_Costs!H40*Team!H25/Revenue!H27))</f>
        <v>-40950.5070749933</v>
      </c>
      <c r="I37" s="65" t="n">
        <f aca="false">-(IF(Revenue!I25=0,0,Unit_Costs!I14*Team!I23/Revenue!I25)+IF(Revenue!I26=0,0,Unit_Costs!I27*Team!I24/Revenue!I26)+IF(Revenue!I27=0,0,Unit_Costs!I40*Team!I25/Revenue!I27))</f>
        <v>-44517.9067488565</v>
      </c>
      <c r="J37" s="65" t="n">
        <f aca="false">-(IF(Revenue!J25=0,0,Unit_Costs!J14*Team!J23/Revenue!J25)+IF(Revenue!J26=0,0,Unit_Costs!J27*Team!J24/Revenue!J26)+IF(Revenue!J27=0,0,Unit_Costs!J40*Team!J25/Revenue!J27))</f>
        <v>-45511.8586370544</v>
      </c>
      <c r="K37" s="65" t="n">
        <f aca="false">-(IF(Revenue!K25=0,0,Unit_Costs!K14*Team!K23/Revenue!K25)+IF(Revenue!K26=0,0,Unit_Costs!K27*Team!K24/Revenue!K26)+IF(Revenue!K27=0,0,Unit_Costs!K40*Team!K25/Revenue!K27))</f>
        <v>-45607.9203717674</v>
      </c>
      <c r="L37" s="65" t="n">
        <f aca="false">-(IF(Revenue!L25=0,0,Unit_Costs!L14*Team!L23/Revenue!L25)+IF(Revenue!L26=0,0,Unit_Costs!L27*Team!L24/Revenue!L26)+IF(Revenue!L27=0,0,Unit_Costs!L40*Team!L25/Revenue!L27))</f>
        <v>-45475.7386644673</v>
      </c>
      <c r="M37" s="65" t="n">
        <f aca="false">-(IF(Revenue!M25=0,0,Unit_Costs!M14*Team!M23/Revenue!M25)+IF(Revenue!M26=0,0,Unit_Costs!M27*Team!M24/Revenue!M26)+IF(Revenue!M27=0,0,Unit_Costs!M40*Team!M25/Revenue!M27))</f>
        <v>-45242.3945376066</v>
      </c>
      <c r="N37" s="65" t="n">
        <f aca="false">-(IF(Revenue!N25=0,0,Unit_Costs!N14*Team!N23/Revenue!N25)+IF(Revenue!N26=0,0,Unit_Costs!N27*Team!N24/Revenue!N26)+IF(Revenue!N27=0,0,Unit_Costs!N40*Team!N25/Revenue!N27))</f>
        <v>-38362.827105923</v>
      </c>
      <c r="O37" s="65" t="n">
        <f aca="false">-(IF(Revenue!O25=0,0,Unit_Costs!O14*Team!O23/Revenue!O25)+IF(Revenue!O26=0,0,Unit_Costs!O27*Team!O24/Revenue!O26)+IF(Revenue!O27=0,0,Unit_Costs!O40*Team!O25/Revenue!O27))</f>
        <v>-38808.6192203949</v>
      </c>
      <c r="P37" s="65" t="n">
        <f aca="false">-(IF(Revenue!P25=0,0,Unit_Costs!P14*Team!P23/Revenue!P25)+IF(Revenue!P26=0,0,Unit_Costs!P27*Team!P24/Revenue!P26)+IF(Revenue!P27=0,0,Unit_Costs!P40*Team!P25/Revenue!P27))</f>
        <v>-39206.9850663278</v>
      </c>
      <c r="Q37" s="65" t="n">
        <f aca="false">-(IF(Revenue!Q25=0,0,Unit_Costs!Q14*Team!Q23/Revenue!Q25)+IF(Revenue!Q26=0,0,Unit_Costs!Q27*Team!Q24/Revenue!Q26)+IF(Revenue!Q27=0,0,Unit_Costs!Q40*Team!Q25/Revenue!Q27))</f>
        <v>-43704.3737285994</v>
      </c>
      <c r="R37" s="65" t="n">
        <f aca="false">-(IF(Revenue!R25=0,0,Unit_Costs!R14*Team!R23/Revenue!R25)+IF(Revenue!R26=0,0,Unit_Costs!R27*Team!R24/Revenue!R26)+IF(Revenue!R27=0,0,Unit_Costs!R40*Team!R25/Revenue!R27))</f>
        <v>-44180.1024918725</v>
      </c>
      <c r="S37" s="65" t="n">
        <f aca="false">-(IF(Revenue!S25=0,0,Unit_Costs!S14*Team!S23/Revenue!S25)+IF(Revenue!S26=0,0,Unit_Costs!S27*Team!S24/Revenue!S26)+IF(Revenue!S27=0,0,Unit_Costs!S40*Team!S25/Revenue!S27))</f>
        <v>-44848.7755202916</v>
      </c>
      <c r="T37" s="65" t="n">
        <f aca="false">-(IF(Revenue!T25=0,0,Unit_Costs!T14*Team!T23/Revenue!T25)+IF(Revenue!T26=0,0,Unit_Costs!T27*Team!T24/Revenue!T26)+IF(Revenue!T27=0,0,Unit_Costs!T40*Team!T25/Revenue!T27))</f>
        <v>-45218.5162549869</v>
      </c>
      <c r="U37" s="65" t="n">
        <f aca="false">-(IF(Revenue!U25=0,0,Unit_Costs!U14*Team!U23/Revenue!U25)+IF(Revenue!U26=0,0,Unit_Costs!U27*Team!U24/Revenue!U26)+IF(Revenue!U27=0,0,Unit_Costs!U40*Team!U25/Revenue!U27))</f>
        <v>-45636.5005916436</v>
      </c>
      <c r="V37" s="65" t="n">
        <f aca="false">-(IF(Revenue!V25=0,0,Unit_Costs!V14*Team!V23/Revenue!V25)+IF(Revenue!V26=0,0,Unit_Costs!V27*Team!V24/Revenue!V26)+IF(Revenue!V27=0,0,Unit_Costs!V40*Team!V25/Revenue!V27))</f>
        <v>-46108.4557181234</v>
      </c>
      <c r="W37" s="65" t="n">
        <f aca="false">-(IF(Revenue!W25=0,0,Unit_Costs!W14*Team!W23/Revenue!W25)+IF(Revenue!W26=0,0,Unit_Costs!W27*Team!W24/Revenue!W26)+IF(Revenue!W27=0,0,Unit_Costs!W40*Team!W25/Revenue!W27))</f>
        <v>-46328.2571728165</v>
      </c>
      <c r="X37" s="65" t="n">
        <f aca="false">-(IF(Revenue!X25=0,0,Unit_Costs!X14*Team!X23/Revenue!X25)+IF(Revenue!X26=0,0,Unit_Costs!X27*Team!X24/Revenue!X26)+IF(Revenue!X27=0,0,Unit_Costs!X40*Team!X25/Revenue!X27))</f>
        <v>-46385.8959352274</v>
      </c>
      <c r="Y37" s="65" t="n">
        <f aca="false">-(IF(Revenue!Y25=0,0,Unit_Costs!Y14*Team!Y23/Revenue!Y25)+IF(Revenue!Y26=0,0,Unit_Costs!Y27*Team!Y24/Revenue!Y26)+IF(Revenue!Y27=0,0,Unit_Costs!Y40*Team!Y25/Revenue!Y27))</f>
        <v>-46932.4115138106</v>
      </c>
      <c r="Z37" s="65" t="n">
        <f aca="false">-(IF(Revenue!Z25=0,0,Unit_Costs!Z14*Team!Z23/Revenue!Z25)+IF(Revenue!Z26=0,0,Unit_Costs!Z27*Team!Z24/Revenue!Z26)+IF(Revenue!Z27=0,0,Unit_Costs!Z40*Team!Z25/Revenue!Z27))</f>
        <v>-47408.4076742307</v>
      </c>
      <c r="AA37" s="65" t="n">
        <f aca="false">-(IF(Revenue!AA25=0,0,Unit_Costs!AA14*Team!AA23/Revenue!AA25)+IF(Revenue!AA26=0,0,Unit_Costs!AA27*Team!AA24/Revenue!AA26)+IF(Revenue!AA27=0,0,Unit_Costs!AA40*Team!AA25/Revenue!AA27))</f>
        <v>-47913.5180505472</v>
      </c>
      <c r="AB37" s="65" t="n">
        <f aca="false">-(IF(Revenue!AB25=0,0,Unit_Costs!AB14*Team!AB23/Revenue!AB25)+IF(Revenue!AB26=0,0,Unit_Costs!AB27*Team!AB24/Revenue!AB26)+IF(Revenue!AB27=0,0,Unit_Costs!AB40*Team!AB25/Revenue!AB27))</f>
        <v>-48296.4044457847</v>
      </c>
    </row>
    <row r="38" customFormat="false" ht="15" hidden="false" customHeight="false" outlineLevel="0" collapsed="false">
      <c r="A38" s="28" t="s">
        <v>1084</v>
      </c>
      <c r="B38" s="62"/>
      <c r="C38" s="64" t="n">
        <f aca="false">SUM(E38:P38)</f>
        <v>-53625.0698089506</v>
      </c>
      <c r="D38" s="64" t="n">
        <f aca="false">SUM(Q38:AB38)</f>
        <v>-63559.1532539092</v>
      </c>
      <c r="E38" s="65" t="n">
        <f aca="false">-IF((Credits!E51+Team!E18)=0,0,Receivables!E10*Team!E18/(Credits!E51+Team!E18))</f>
        <v>-3983.73429423812</v>
      </c>
      <c r="F38" s="65" t="n">
        <f aca="false">-IF((Credits!F51+Team!F18)=0,0,Receivables!F10*Team!F18/(Credits!F51+Team!F18))</f>
        <v>-3986.16661134414</v>
      </c>
      <c r="G38" s="65" t="n">
        <f aca="false">-IF((Credits!G51+Team!G18)=0,0,Receivables!G10*Team!G18/(Credits!G51+Team!G18))</f>
        <v>-4244.27972051646</v>
      </c>
      <c r="H38" s="65" t="n">
        <f aca="false">-IF((Credits!H51+Team!H18)=0,0,Receivables!H10*Team!H18/(Credits!H51+Team!H18))</f>
        <v>-4158.61462519041</v>
      </c>
      <c r="I38" s="65" t="n">
        <f aca="false">-IF((Credits!I51+Team!I18)=0,0,Receivables!I10*Team!I18/(Credits!I51+Team!I18))</f>
        <v>-4459.65678628473</v>
      </c>
      <c r="J38" s="65" t="n">
        <f aca="false">-IF((Credits!J51+Team!J18)=0,0,Receivables!J10*Team!J18/(Credits!J51+Team!J18))</f>
        <v>-4540.63122126637</v>
      </c>
      <c r="K38" s="65" t="n">
        <f aca="false">-IF((Credits!K51+Team!K18)=0,0,Receivables!K10*Team!K18/(Credits!K51+Team!K18))</f>
        <v>-4526.19857841571</v>
      </c>
      <c r="L38" s="65" t="n">
        <f aca="false">-IF((Credits!L51+Team!L18)=0,0,Receivables!L10*Team!L18/(Credits!L51+Team!L18))</f>
        <v>-4483.11798447978</v>
      </c>
      <c r="M38" s="65" t="n">
        <f aca="false">-IF((Credits!M51+Team!M18)=0,0,Receivables!M10*Team!M18/(Credits!M51+Team!M18))</f>
        <v>-4725.9791838822</v>
      </c>
      <c r="N38" s="65" t="n">
        <f aca="false">-IF((Credits!N51+Team!N18)=0,0,Receivables!N10*Team!N18/(Credits!N51+Team!N18))</f>
        <v>-4811.09881408974</v>
      </c>
      <c r="O38" s="65" t="n">
        <f aca="false">-IF((Credits!O51+Team!O18)=0,0,Receivables!O10*Team!O18/(Credits!O51+Team!O18))</f>
        <v>-4817.97676996963</v>
      </c>
      <c r="P38" s="65" t="n">
        <f aca="false">-IF((Credits!P51+Team!P18)=0,0,Receivables!P10*Team!P18/(Credits!P51+Team!P18))</f>
        <v>-4887.61521927331</v>
      </c>
      <c r="Q38" s="65" t="n">
        <f aca="false">-IF((Credits!Q51+Team!Q18)=0,0,Receivables!Q10*Team!Q18/(Credits!Q51+Team!Q18))</f>
        <v>-4959.48195161919</v>
      </c>
      <c r="R38" s="65" t="n">
        <f aca="false">-IF((Credits!R51+Team!R18)=0,0,Receivables!R10*Team!R18/(Credits!R51+Team!R18))</f>
        <v>-5042.84908908395</v>
      </c>
      <c r="S38" s="65" t="n">
        <f aca="false">-IF((Credits!S51+Team!S18)=0,0,Receivables!S10*Team!S18/(Credits!S51+Team!S18))</f>
        <v>-5122.91857869812</v>
      </c>
      <c r="T38" s="65" t="n">
        <f aca="false">-IF((Credits!T51+Team!T18)=0,0,Receivables!T10*Team!T18/(Credits!T51+Team!T18))</f>
        <v>-5141.29554539629</v>
      </c>
      <c r="U38" s="65" t="n">
        <f aca="false">-IF((Credits!U51+Team!U18)=0,0,Receivables!U10*Team!U18/(Credits!U51+Team!U18))</f>
        <v>-5141.87700403907</v>
      </c>
      <c r="V38" s="65" t="n">
        <f aca="false">-IF((Credits!V51+Team!V18)=0,0,Receivables!V10*Team!V18/(Credits!V51+Team!V18))</f>
        <v>-5334.76700179109</v>
      </c>
      <c r="W38" s="65" t="n">
        <f aca="false">-IF((Credits!W51+Team!W18)=0,0,Receivables!W10*Team!W18/(Credits!W51+Team!W18))</f>
        <v>-5234.33342371712</v>
      </c>
      <c r="X38" s="65" t="n">
        <f aca="false">-IF((Credits!X51+Team!X18)=0,0,Receivables!X10*Team!X18/(Credits!X51+Team!X18))</f>
        <v>-5132.59993719981</v>
      </c>
      <c r="Y38" s="65" t="n">
        <f aca="false">-IF((Credits!Y51+Team!Y18)=0,0,Receivables!Y10*Team!Y18/(Credits!Y51+Team!Y18))</f>
        <v>-5569.02868332119</v>
      </c>
      <c r="Z38" s="65" t="n">
        <f aca="false">-IF((Credits!Z51+Team!Z18)=0,0,Receivables!Z10*Team!Z18/(Credits!Z51+Team!Z18))</f>
        <v>-5632.61758079787</v>
      </c>
      <c r="AA38" s="65" t="n">
        <f aca="false">-IF((Credits!AA51+Team!AA18)=0,0,Receivables!AA10*Team!AA18/(Credits!AA51+Team!AA18))</f>
        <v>-5639.24142329691</v>
      </c>
      <c r="AB38" s="65" t="n">
        <f aca="false">-IF((Credits!AB51+Team!AB18)=0,0,Receivables!AB10*Team!AB18/(Credits!AB51+Team!AB18))</f>
        <v>-5608.14303494862</v>
      </c>
    </row>
    <row r="39" customFormat="false" ht="15" hidden="false" customHeight="false" outlineLevel="0" collapsed="false">
      <c r="A39" s="28" t="s">
        <v>1085</v>
      </c>
      <c r="B39" s="62" t="s">
        <v>1070</v>
      </c>
      <c r="C39" s="64" t="n">
        <f aca="false">SUM(E39:P39)</f>
        <v>-334634.440227035</v>
      </c>
      <c r="D39" s="64" t="n">
        <f aca="false">SUM(Q39:AB39)</f>
        <v>-383889.632124558</v>
      </c>
      <c r="E39" s="65" t="n">
        <f aca="false">-IF(Revenue!E15=0,0,People!E223*E36/Revenue!E15)</f>
        <v>-25346.2008874746</v>
      </c>
      <c r="F39" s="65" t="n">
        <f aca="false">-IF(Revenue!F15=0,0,People!F223*F36/Revenue!F15)</f>
        <v>-25288.5067582959</v>
      </c>
      <c r="G39" s="65" t="n">
        <f aca="false">-IF(Revenue!G15=0,0,People!G223*G36/Revenue!G15)</f>
        <v>-27770.7685304656</v>
      </c>
      <c r="H39" s="65" t="n">
        <f aca="false">-IF(Revenue!H15=0,0,People!H223*H36/Revenue!H15)</f>
        <v>-28286.0972427259</v>
      </c>
      <c r="I39" s="65" t="n">
        <f aca="false">-IF(Revenue!I15=0,0,People!I223*I36/Revenue!I15)</f>
        <v>-29738.6180535401</v>
      </c>
      <c r="J39" s="65" t="n">
        <f aca="false">-IF(Revenue!J15=0,0,People!J223*J36/Revenue!J15)</f>
        <v>-29506.9014102243</v>
      </c>
      <c r="K39" s="65" t="n">
        <f aca="false">-IF(Revenue!K15=0,0,People!K223*K36/Revenue!K15)</f>
        <v>-26509.2166274615</v>
      </c>
      <c r="L39" s="65" t="n">
        <f aca="false">-IF(Revenue!L15=0,0,People!L223*L36/Revenue!L15)</f>
        <v>-21308.8833564494</v>
      </c>
      <c r="M39" s="65" t="n">
        <f aca="false">-IF(Revenue!M15=0,0,People!M223*M36/Revenue!M15)</f>
        <v>-25734.4784591175</v>
      </c>
      <c r="N39" s="65" t="n">
        <f aca="false">-IF(Revenue!N15=0,0,People!N223*N36/Revenue!N15)</f>
        <v>-32239.8135648265</v>
      </c>
      <c r="O39" s="65" t="n">
        <f aca="false">-IF(Revenue!O15=0,0,People!O223*O36/Revenue!O15)</f>
        <v>-32275.6575045682</v>
      </c>
      <c r="P39" s="65" t="n">
        <f aca="false">-IF(Revenue!P15=0,0,People!P223*P36/Revenue!P15)</f>
        <v>-30629.297831886</v>
      </c>
      <c r="Q39" s="65" t="n">
        <f aca="false">-IF(Revenue!Q15=0,0,People!Q223*Q36/Revenue!Q15)</f>
        <v>-33902.8908881864</v>
      </c>
      <c r="R39" s="65" t="n">
        <f aca="false">-IF(Revenue!R15=0,0,People!R223*R36/Revenue!R15)</f>
        <v>-32957.1891261022</v>
      </c>
      <c r="S39" s="65" t="n">
        <f aca="false">-IF(Revenue!S15=0,0,People!S223*S36/Revenue!S15)</f>
        <v>-29295.4220526679</v>
      </c>
      <c r="T39" s="65" t="n">
        <f aca="false">-IF(Revenue!T15=0,0,People!T223*T36/Revenue!T15)</f>
        <v>-34780.9709690234</v>
      </c>
      <c r="U39" s="65" t="n">
        <f aca="false">-IF(Revenue!U15=0,0,People!U223*U36/Revenue!U15)</f>
        <v>-33756.4676349418</v>
      </c>
      <c r="V39" s="65" t="n">
        <f aca="false">-IF(Revenue!V15=0,0,People!V223*V36/Revenue!V15)</f>
        <v>-30290.479243709</v>
      </c>
      <c r="W39" s="65" t="n">
        <f aca="false">-IF(Revenue!W15=0,0,People!W223*W36/Revenue!W15)</f>
        <v>-31027.3598747717</v>
      </c>
      <c r="X39" s="65" t="n">
        <f aca="false">-IF(Revenue!X15=0,0,People!X223*X36/Revenue!X15)</f>
        <v>-25807.5643824039</v>
      </c>
      <c r="Y39" s="65" t="n">
        <f aca="false">-IF(Revenue!Y15=0,0,People!Y223*Y36/Revenue!Y15)</f>
        <v>-33220.4847699435</v>
      </c>
      <c r="Z39" s="65" t="n">
        <f aca="false">-IF(Revenue!Z15=0,0,People!Z223*Z36/Revenue!Z15)</f>
        <v>-31833.400494262</v>
      </c>
      <c r="AA39" s="65" t="n">
        <f aca="false">-IF(Revenue!AA15=0,0,People!AA223*AA36/Revenue!AA15)</f>
        <v>-33496.5199505854</v>
      </c>
      <c r="AB39" s="65" t="n">
        <f aca="false">-IF(Revenue!AB15=0,0,People!AB223*AB36/Revenue!AB15)</f>
        <v>-33520.8827379607</v>
      </c>
    </row>
    <row r="40" customFormat="false" ht="15" hidden="false" customHeight="false" outlineLevel="0" collapsed="false">
      <c r="A40" s="58" t="s">
        <v>1086</v>
      </c>
      <c r="B40" s="59"/>
      <c r="C40" s="60" t="n">
        <f aca="false">SUM(E40:P40)</f>
        <v>1539311.1150399</v>
      </c>
      <c r="D40" s="60" t="n">
        <f aca="false">SUM(Q40:AB40)</f>
        <v>1876610.82211155</v>
      </c>
      <c r="E40" s="60" t="n">
        <f aca="false">E36+E37+E38+E39</f>
        <v>112115.065602947</v>
      </c>
      <c r="F40" s="60" t="n">
        <f aca="false">F36+F37+F38+F39</f>
        <v>114889.224037422</v>
      </c>
      <c r="G40" s="60" t="n">
        <f aca="false">G36+G37+G38+G39</f>
        <v>116668.016538067</v>
      </c>
      <c r="H40" s="60" t="n">
        <f aca="false">H36+H37+H38+H39</f>
        <v>120317.17105709</v>
      </c>
      <c r="I40" s="60" t="n">
        <f aca="false">I36+I37+I38+I39</f>
        <v>122799.728411319</v>
      </c>
      <c r="J40" s="60" t="n">
        <f aca="false">J36+J37+J38+J39</f>
        <v>128879.308731455</v>
      </c>
      <c r="K40" s="60" t="n">
        <f aca="false">K36+K37+K38+K39</f>
        <v>131452.104422355</v>
      </c>
      <c r="L40" s="60" t="n">
        <f aca="false">L36+L37+L38+L39</f>
        <v>137219.899994604</v>
      </c>
      <c r="M40" s="60" t="n">
        <f aca="false">M36+M37+M38+M39</f>
        <v>132659.548210711</v>
      </c>
      <c r="N40" s="60" t="n">
        <f aca="false">N36+N37+N38+N39</f>
        <v>137197.419153315</v>
      </c>
      <c r="O40" s="60" t="n">
        <f aca="false">O36+O37+O38+O39</f>
        <v>140478.925964244</v>
      </c>
      <c r="P40" s="60" t="n">
        <f aca="false">P36+P37+P38+P39</f>
        <v>144634.702916374</v>
      </c>
      <c r="Q40" s="60" t="n">
        <f aca="false">Q36+Q37+Q38+Q39</f>
        <v>140851.331058761</v>
      </c>
      <c r="R40" s="60" t="n">
        <f aca="false">R36+R37+R38+R39</f>
        <v>144820.534380862</v>
      </c>
      <c r="S40" s="60" t="n">
        <f aca="false">S36+S37+S38+S39</f>
        <v>151497.771077382</v>
      </c>
      <c r="T40" s="60" t="n">
        <f aca="false">T36+T37+T38+T39</f>
        <v>148671.997699625</v>
      </c>
      <c r="U40" s="60" t="n">
        <f aca="false">U36+U37+U38+U39</f>
        <v>152111.858741821</v>
      </c>
      <c r="V40" s="60" t="n">
        <f aca="false">V36+V37+V38+V39</f>
        <v>157863.788686341</v>
      </c>
      <c r="W40" s="60" t="n">
        <f aca="false">W36+W37+W38+W39</f>
        <v>158927.439463551</v>
      </c>
      <c r="X40" s="60" t="n">
        <f aca="false">X36+X37+X38+X39</f>
        <v>164771.131415318</v>
      </c>
      <c r="Y40" s="60" t="n">
        <f aca="false">Y36+Y37+Y38+Y39</f>
        <v>159912.38787544</v>
      </c>
      <c r="Z40" s="60" t="n">
        <f aca="false">Z36+Z37+Z38+Z39</f>
        <v>164401.449907989</v>
      </c>
      <c r="AA40" s="60" t="n">
        <f aca="false">AA36+AA37+AA38+AA39</f>
        <v>165393.465270571</v>
      </c>
      <c r="AB40" s="60" t="n">
        <f aca="false">AB36+AB37+AB38+AB39</f>
        <v>167387.66653389</v>
      </c>
    </row>
    <row r="41" customFormat="false" ht="15" hidden="false" customHeight="false" outlineLevel="0" collapsed="false">
      <c r="A41" s="28" t="s">
        <v>1087</v>
      </c>
      <c r="B41" s="62"/>
      <c r="C41" s="66" t="n">
        <f aca="false">IF(C36=0,0,C40/C36)</f>
        <v>0.632561770391033</v>
      </c>
      <c r="D41" s="66" t="n">
        <f aca="false">IF(D36=0,0,D40/D36)</f>
        <v>0.652275626181996</v>
      </c>
      <c r="E41" s="75" t="n">
        <f aca="false">IF(E36=0,0,E40/E36)</f>
        <v>0.617290123561719</v>
      </c>
      <c r="F41" s="75" t="n">
        <f aca="false">IF(F36=0,0,F40/F36)</f>
        <v>0.624840812651087</v>
      </c>
      <c r="G41" s="75" t="n">
        <f aca="false">IF(G36=0,0,G40/G36)</f>
        <v>0.610833036278545</v>
      </c>
      <c r="H41" s="75" t="n">
        <f aca="false">IF(H36=0,0,H40/H36)</f>
        <v>0.621112418555625</v>
      </c>
      <c r="I41" s="75" t="n">
        <f aca="false">IF(I36=0,0,I40/I36)</f>
        <v>0.60937981726266</v>
      </c>
      <c r="J41" s="75" t="n">
        <f aca="false">IF(J36=0,0,J40/J36)</f>
        <v>0.61830796647386</v>
      </c>
      <c r="K41" s="75" t="n">
        <f aca="false">IF(K36=0,0,K40/K36)</f>
        <v>0.631691422081884</v>
      </c>
      <c r="L41" s="75" t="n">
        <f aca="false">IF(L36=0,0,L40/L36)</f>
        <v>0.658168033340507</v>
      </c>
      <c r="M41" s="75" t="n">
        <f aca="false">IF(M36=0,0,M40/M36)</f>
        <v>0.636677001040343</v>
      </c>
      <c r="N41" s="75" t="n">
        <f aca="false">IF(N36=0,0,N40/N36)</f>
        <v>0.645297358953831</v>
      </c>
      <c r="O41" s="75" t="n">
        <f aca="false">IF(O36=0,0,O40/O36)</f>
        <v>0.649219707163797</v>
      </c>
      <c r="P41" s="75" t="n">
        <f aca="false">IF(P36=0,0,P40/P36)</f>
        <v>0.659352777756126</v>
      </c>
      <c r="Q41" s="75" t="n">
        <f aca="false">IF(Q36=0,0,Q40/Q36)</f>
        <v>0.630438380612199</v>
      </c>
      <c r="R41" s="75" t="n">
        <f aca="false">IF(R36=0,0,R40/R36)</f>
        <v>0.637974025076229</v>
      </c>
      <c r="S41" s="75" t="n">
        <f aca="false">IF(S36=0,0,S40/S36)</f>
        <v>0.656502698034024</v>
      </c>
      <c r="T41" s="75" t="n">
        <f aca="false">IF(T36=0,0,T40/T36)</f>
        <v>0.635859157918515</v>
      </c>
      <c r="U41" s="75" t="n">
        <f aca="false">IF(U36=0,0,U40/U36)</f>
        <v>0.642780381845219</v>
      </c>
      <c r="V41" s="75" t="n">
        <f aca="false">IF(V36=0,0,V40/V36)</f>
        <v>0.6588707930876</v>
      </c>
      <c r="W41" s="75" t="n">
        <f aca="false">IF(W36=0,0,W40/W36)</f>
        <v>0.658037251505649</v>
      </c>
      <c r="X41" s="75" t="n">
        <f aca="false">IF(X36=0,0,X40/X36)</f>
        <v>0.680599102693492</v>
      </c>
      <c r="Y41" s="75" t="n">
        <f aca="false">IF(Y36=0,0,Y40/Y36)</f>
        <v>0.651018117236599</v>
      </c>
      <c r="Z41" s="75" t="n">
        <f aca="false">IF(Z36=0,0,Z40/Z36)</f>
        <v>0.659516086241809</v>
      </c>
      <c r="AA41" s="75" t="n">
        <f aca="false">IF(AA36=0,0,AA40/AA36)</f>
        <v>0.655172187540578</v>
      </c>
      <c r="AB41" s="75" t="n">
        <f aca="false">IF(AB36=0,0,AB40/AB36)</f>
        <v>0.656903701839229</v>
      </c>
    </row>
    <row r="42" customFormat="false" ht="15" hidden="false" customHeight="false" outlineLevel="0" collapsed="false">
      <c r="A42" s="28" t="s">
        <v>1088</v>
      </c>
      <c r="B42" s="62"/>
      <c r="C42" s="64" t="n">
        <f aca="false">SUM(E42:P42)</f>
        <v>3128201.11722054</v>
      </c>
      <c r="D42" s="64" t="n">
        <f aca="false">SUM(Q42:AB42)</f>
        <v>4275827.34556164</v>
      </c>
      <c r="E42" s="65" t="n">
        <f aca="false">Enterprise!E215</f>
        <v>239324.28</v>
      </c>
      <c r="F42" s="65" t="n">
        <f aca="false">Enterprise!F215</f>
        <v>209055.46</v>
      </c>
      <c r="G42" s="65" t="n">
        <f aca="false">Enterprise!G215</f>
        <v>239938.62</v>
      </c>
      <c r="H42" s="65" t="n">
        <f aca="false">Enterprise!H215</f>
        <v>211228.52</v>
      </c>
      <c r="I42" s="65" t="n">
        <f aca="false">Enterprise!I215</f>
        <v>239841.75</v>
      </c>
      <c r="J42" s="65" t="n">
        <f aca="false">Enterprise!J215</f>
        <v>274100.03</v>
      </c>
      <c r="K42" s="65" t="n">
        <f aca="false">Enterprise!K215</f>
        <v>270466.45</v>
      </c>
      <c r="L42" s="65" t="n">
        <f aca="false">Enterprise!L215</f>
        <v>279247.18</v>
      </c>
      <c r="M42" s="65" t="n">
        <f aca="false">Enterprise!M215</f>
        <v>362303.430753</v>
      </c>
      <c r="N42" s="65" t="n">
        <f aca="false">Enterprise!N215</f>
        <v>255208.331864375</v>
      </c>
      <c r="O42" s="65" t="n">
        <f aca="false">Enterprise!O215</f>
        <v>268076.970864388</v>
      </c>
      <c r="P42" s="65" t="n">
        <f aca="false">Enterprise!P215</f>
        <v>279410.093738776</v>
      </c>
      <c r="Q42" s="65" t="n">
        <f aca="false">Enterprise!Q215</f>
        <v>306181.227278516</v>
      </c>
      <c r="R42" s="65" t="n">
        <f aca="false">Enterprise!R215</f>
        <v>294303.000697124</v>
      </c>
      <c r="S42" s="65" t="n">
        <f aca="false">Enterprise!S215</f>
        <v>409486.277062036</v>
      </c>
      <c r="T42" s="65" t="n">
        <f aca="false">Enterprise!T215</f>
        <v>305951.804366362</v>
      </c>
      <c r="U42" s="65" t="n">
        <f aca="false">Enterprise!U215</f>
        <v>318886.098430946</v>
      </c>
      <c r="V42" s="65" t="n">
        <f aca="false">Enterprise!V215</f>
        <v>442008.841108146</v>
      </c>
      <c r="W42" s="65" t="n">
        <f aca="false">Enterprise!W215</f>
        <v>324437.017302965</v>
      </c>
      <c r="X42" s="65" t="n">
        <f aca="false">Enterprise!X215</f>
        <v>341952.280171191</v>
      </c>
      <c r="Y42" s="65" t="n">
        <f aca="false">Enterprise!Y215</f>
        <v>389418.79751787</v>
      </c>
      <c r="Z42" s="65" t="n">
        <f aca="false">Enterprise!Z215</f>
        <v>406427.874474742</v>
      </c>
      <c r="AA42" s="65" t="n">
        <f aca="false">Enterprise!AA215</f>
        <v>385023.776156571</v>
      </c>
      <c r="AB42" s="65" t="n">
        <f aca="false">Enterprise!AB215</f>
        <v>351750.350995172</v>
      </c>
    </row>
    <row r="43" customFormat="false" ht="15" hidden="false" customHeight="false" outlineLevel="0" collapsed="false">
      <c r="A43" s="28" t="s">
        <v>1089</v>
      </c>
      <c r="B43" s="62" t="s">
        <v>1077</v>
      </c>
      <c r="C43" s="64" t="n">
        <f aca="false">SUM(E43:P43)</f>
        <v>-947023.038325374</v>
      </c>
      <c r="D43" s="64" t="n">
        <f aca="false">SUM(Q43:AB43)</f>
        <v>-1220612.71461515</v>
      </c>
      <c r="E43" s="65" t="n">
        <f aca="false">-(IF(Revenue!E25=0,0,Unit_Costs!E14*Enterprise!E217/Revenue!E25)+IF(Revenue!E26=0,0,Unit_Costs!E27*Enterprise!E218/Revenue!E26)+IF(Revenue!E27=0,0,Unit_Costs!E40*Enterprise!E219/Revenue!E27))</f>
        <v>-73162.0803503764</v>
      </c>
      <c r="F43" s="65" t="n">
        <f aca="false">-(IF(Revenue!F25=0,0,Unit_Costs!F14*Enterprise!F217/Revenue!F25)+IF(Revenue!F26=0,0,Unit_Costs!F27*Enterprise!F218/Revenue!F26)+IF(Revenue!F27=0,0,Unit_Costs!F40*Enterprise!F219/Revenue!F27))</f>
        <v>-73788.4652421609</v>
      </c>
      <c r="G43" s="65" t="n">
        <f aca="false">-(IF(Revenue!G25=0,0,Unit_Costs!G14*Enterprise!G217/Revenue!G25)+IF(Revenue!G26=0,0,Unit_Costs!G27*Enterprise!G218/Revenue!G26)+IF(Revenue!G27=0,0,Unit_Costs!G40*Enterprise!G219/Revenue!G27))</f>
        <v>-70800.3262916859</v>
      </c>
      <c r="H43" s="65" t="n">
        <f aca="false">-(IF(Revenue!H25=0,0,Unit_Costs!H14*Enterprise!H217/Revenue!H25)+IF(Revenue!H26=0,0,Unit_Costs!H27*Enterprise!H218/Revenue!H26)+IF(Revenue!H27=0,0,Unit_Costs!H40*Enterprise!H219/Revenue!H27))</f>
        <v>-71881.2613169231</v>
      </c>
      <c r="I43" s="65" t="n">
        <f aca="false">-(IF(Revenue!I25=0,0,Unit_Costs!I14*Enterprise!I217/Revenue!I25)+IF(Revenue!I26=0,0,Unit_Costs!I27*Enterprise!I218/Revenue!I26)+IF(Revenue!I27=0,0,Unit_Costs!I40*Enterprise!I219/Revenue!I27))</f>
        <v>-75514.1693849406</v>
      </c>
      <c r="J43" s="65" t="n">
        <f aca="false">-(IF(Revenue!J25=0,0,Unit_Costs!J14*Enterprise!J217/Revenue!J25)+IF(Revenue!J26=0,0,Unit_Costs!J27*Enterprise!J218/Revenue!J26)+IF(Revenue!J27=0,0,Unit_Costs!J40*Enterprise!J219/Revenue!J27))</f>
        <v>-77353.3942860383</v>
      </c>
      <c r="K43" s="65" t="n">
        <f aca="false">-(IF(Revenue!K25=0,0,Unit_Costs!K14*Enterprise!K217/Revenue!K25)+IF(Revenue!K26=0,0,Unit_Costs!K27*Enterprise!K218/Revenue!K26)+IF(Revenue!K27=0,0,Unit_Costs!K40*Enterprise!K219/Revenue!K27))</f>
        <v>-88775.8714254049</v>
      </c>
      <c r="L43" s="65" t="n">
        <f aca="false">-(IF(Revenue!L25=0,0,Unit_Costs!L14*Enterprise!L217/Revenue!L25)+IF(Revenue!L26=0,0,Unit_Costs!L27*Enterprise!L218/Revenue!L26)+IF(Revenue!L27=0,0,Unit_Costs!L40*Enterprise!L219/Revenue!L27))</f>
        <v>-88506.7890814217</v>
      </c>
      <c r="M43" s="65" t="n">
        <f aca="false">-(IF(Revenue!M25=0,0,Unit_Costs!M14*Enterprise!M217/Revenue!M25)+IF(Revenue!M26=0,0,Unit_Costs!M27*Enterprise!M218/Revenue!M26)+IF(Revenue!M27=0,0,Unit_Costs!M40*Enterprise!M219/Revenue!M27))</f>
        <v>-89403.7466774767</v>
      </c>
      <c r="N43" s="65" t="n">
        <f aca="false">-(IF(Revenue!N25=0,0,Unit_Costs!N14*Enterprise!N217/Revenue!N25)+IF(Revenue!N26=0,0,Unit_Costs!N27*Enterprise!N218/Revenue!N26)+IF(Revenue!N27=0,0,Unit_Costs!N40*Enterprise!N219/Revenue!N27))</f>
        <v>-76133.2802943839</v>
      </c>
      <c r="O43" s="65" t="n">
        <f aca="false">-(IF(Revenue!O25=0,0,Unit_Costs!O14*Enterprise!O217/Revenue!O25)+IF(Revenue!O26=0,0,Unit_Costs!O27*Enterprise!O218/Revenue!O26)+IF(Revenue!O27=0,0,Unit_Costs!O40*Enterprise!O219/Revenue!O27))</f>
        <v>-79446.5607332707</v>
      </c>
      <c r="P43" s="65" t="n">
        <f aca="false">-(IF(Revenue!P25=0,0,Unit_Costs!P14*Enterprise!P217/Revenue!P25)+IF(Revenue!P26=0,0,Unit_Costs!P27*Enterprise!P218/Revenue!P26)+IF(Revenue!P27=0,0,Unit_Costs!P40*Enterprise!P219/Revenue!P27))</f>
        <v>-82257.093241291</v>
      </c>
      <c r="Q43" s="65" t="n">
        <f aca="false">-(IF(Revenue!Q25=0,0,Unit_Costs!Q14*Enterprise!Q217/Revenue!Q25)+IF(Revenue!Q26=0,0,Unit_Costs!Q27*Enterprise!Q218/Revenue!Q26)+IF(Revenue!Q27=0,0,Unit_Costs!Q40*Enterprise!Q219/Revenue!Q27))</f>
        <v>-91978.6760828788</v>
      </c>
      <c r="R43" s="65" t="n">
        <f aca="false">-(IF(Revenue!R25=0,0,Unit_Costs!R14*Enterprise!R217/Revenue!R25)+IF(Revenue!R26=0,0,Unit_Costs!R27*Enterprise!R218/Revenue!R26)+IF(Revenue!R27=0,0,Unit_Costs!R40*Enterprise!R219/Revenue!R27))</f>
        <v>-94347.7634082635</v>
      </c>
      <c r="S43" s="65" t="n">
        <f aca="false">-(IF(Revenue!S25=0,0,Unit_Costs!S14*Enterprise!S217/Revenue!S25)+IF(Revenue!S26=0,0,Unit_Costs!S27*Enterprise!S218/Revenue!S26)+IF(Revenue!S27=0,0,Unit_Costs!S40*Enterprise!S219/Revenue!S27))</f>
        <v>-97861.3304796173</v>
      </c>
      <c r="T43" s="65" t="n">
        <f aca="false">-(IF(Revenue!T25=0,0,Unit_Costs!T14*Enterprise!T217/Revenue!T25)+IF(Revenue!T26=0,0,Unit_Costs!T27*Enterprise!T218/Revenue!T26)+IF(Revenue!T27=0,0,Unit_Costs!T40*Enterprise!T219/Revenue!T27))</f>
        <v>-97609.7128909194</v>
      </c>
      <c r="U43" s="65" t="n">
        <f aca="false">-(IF(Revenue!U25=0,0,Unit_Costs!U14*Enterprise!U217/Revenue!U25)+IF(Revenue!U26=0,0,Unit_Costs!U27*Enterprise!U218/Revenue!U26)+IF(Revenue!U27=0,0,Unit_Costs!U40*Enterprise!U219/Revenue!U27))</f>
        <v>-101359.640719936</v>
      </c>
      <c r="V43" s="65" t="n">
        <f aca="false">-(IF(Revenue!V25=0,0,Unit_Costs!V14*Enterprise!V217/Revenue!V25)+IF(Revenue!V26=0,0,Unit_Costs!V27*Enterprise!V218/Revenue!V26)+IF(Revenue!V27=0,0,Unit_Costs!V40*Enterprise!V219/Revenue!V27))</f>
        <v>-101816.177539341</v>
      </c>
      <c r="W43" s="65" t="n">
        <f aca="false">-(IF(Revenue!W25=0,0,Unit_Costs!W14*Enterprise!W217/Revenue!W25)+IF(Revenue!W26=0,0,Unit_Costs!W27*Enterprise!W218/Revenue!W26)+IF(Revenue!W27=0,0,Unit_Costs!W40*Enterprise!W219/Revenue!W27))</f>
        <v>-102450.757741931</v>
      </c>
      <c r="X43" s="65" t="n">
        <f aca="false">-(IF(Revenue!X25=0,0,Unit_Costs!X14*Enterprise!X217/Revenue!X25)+IF(Revenue!X26=0,0,Unit_Costs!X27*Enterprise!X218/Revenue!X26)+IF(Revenue!X27=0,0,Unit_Costs!X40*Enterprise!X219/Revenue!X27))</f>
        <v>-104130.777533118</v>
      </c>
      <c r="Y43" s="65" t="n">
        <f aca="false">-(IF(Revenue!Y25=0,0,Unit_Costs!Y14*Enterprise!Y217/Revenue!Y25)+IF(Revenue!Y26=0,0,Unit_Costs!Y27*Enterprise!Y218/Revenue!Y26)+IF(Revenue!Y27=0,0,Unit_Costs!Y40*Enterprise!Y219/Revenue!Y27))</f>
        <v>-105391.516638449</v>
      </c>
      <c r="Z43" s="65" t="n">
        <f aca="false">-(IF(Revenue!Z25=0,0,Unit_Costs!Z14*Enterprise!Z217/Revenue!Z25)+IF(Revenue!Z26=0,0,Unit_Costs!Z27*Enterprise!Z218/Revenue!Z26)+IF(Revenue!Z27=0,0,Unit_Costs!Z40*Enterprise!Z219/Revenue!Z27))</f>
        <v>-106365.290314147</v>
      </c>
      <c r="AA43" s="65" t="n">
        <f aca="false">-(IF(Revenue!AA25=0,0,Unit_Costs!AA14*Enterprise!AA217/Revenue!AA25)+IF(Revenue!AA26=0,0,Unit_Costs!AA27*Enterprise!AA218/Revenue!AA26)+IF(Revenue!AA27=0,0,Unit_Costs!AA40*Enterprise!AA219/Revenue!AA27))</f>
        <v>-107606.970585701</v>
      </c>
      <c r="AB43" s="65" t="n">
        <f aca="false">-(IF(Revenue!AB25=0,0,Unit_Costs!AB14*Enterprise!AB217/Revenue!AB25)+IF(Revenue!AB26=0,0,Unit_Costs!AB27*Enterprise!AB218/Revenue!AB26)+IF(Revenue!AB27=0,0,Unit_Costs!AB40*Enterprise!AB219/Revenue!AB27))</f>
        <v>-109694.100680849</v>
      </c>
    </row>
    <row r="44" customFormat="false" ht="15" hidden="false" customHeight="false" outlineLevel="0" collapsed="false">
      <c r="A44" s="28" t="s">
        <v>1090</v>
      </c>
      <c r="B44" s="62"/>
      <c r="C44" s="64" t="n">
        <f aca="false">SUM(E44:P44)</f>
        <v>0</v>
      </c>
      <c r="D44" s="64" t="n">
        <f aca="false">SUM(Q44:AB44)</f>
        <v>0</v>
      </c>
      <c r="E44" s="73" t="n">
        <f aca="false">0</f>
        <v>0</v>
      </c>
      <c r="F44" s="73" t="n">
        <f aca="false">0</f>
        <v>0</v>
      </c>
      <c r="G44" s="73" t="n">
        <f aca="false">0</f>
        <v>0</v>
      </c>
      <c r="H44" s="73" t="n">
        <f aca="false">0</f>
        <v>0</v>
      </c>
      <c r="I44" s="73" t="n">
        <f aca="false">0</f>
        <v>0</v>
      </c>
      <c r="J44" s="73" t="n">
        <f aca="false">0</f>
        <v>0</v>
      </c>
      <c r="K44" s="73" t="n">
        <f aca="false">0</f>
        <v>0</v>
      </c>
      <c r="L44" s="73" t="n">
        <f aca="false">0</f>
        <v>0</v>
      </c>
      <c r="M44" s="73" t="n">
        <f aca="false">0</f>
        <v>0</v>
      </c>
      <c r="N44" s="73" t="n">
        <f aca="false">0</f>
        <v>0</v>
      </c>
      <c r="O44" s="73" t="n">
        <f aca="false">0</f>
        <v>0</v>
      </c>
      <c r="P44" s="73" t="n">
        <f aca="false">0</f>
        <v>0</v>
      </c>
      <c r="Q44" s="73" t="n">
        <f aca="false">0</f>
        <v>0</v>
      </c>
      <c r="R44" s="73" t="n">
        <f aca="false">0</f>
        <v>0</v>
      </c>
      <c r="S44" s="73" t="n">
        <f aca="false">0</f>
        <v>0</v>
      </c>
      <c r="T44" s="73" t="n">
        <f aca="false">0</f>
        <v>0</v>
      </c>
      <c r="U44" s="73" t="n">
        <f aca="false">0</f>
        <v>0</v>
      </c>
      <c r="V44" s="73" t="n">
        <f aca="false">0</f>
        <v>0</v>
      </c>
      <c r="W44" s="73" t="n">
        <f aca="false">0</f>
        <v>0</v>
      </c>
      <c r="X44" s="73" t="n">
        <f aca="false">0</f>
        <v>0</v>
      </c>
      <c r="Y44" s="73" t="n">
        <f aca="false">0</f>
        <v>0</v>
      </c>
      <c r="Z44" s="73" t="n">
        <f aca="false">0</f>
        <v>0</v>
      </c>
      <c r="AA44" s="73" t="n">
        <f aca="false">0</f>
        <v>0</v>
      </c>
      <c r="AB44" s="73" t="n">
        <f aca="false">0</f>
        <v>0</v>
      </c>
    </row>
    <row r="45" customFormat="false" ht="15" hidden="false" customHeight="false" outlineLevel="0" collapsed="false">
      <c r="A45" s="28" t="s">
        <v>1091</v>
      </c>
      <c r="B45" s="62" t="s">
        <v>1070</v>
      </c>
      <c r="C45" s="64" t="n">
        <f aca="false">SUM(E45:P45)</f>
        <v>-427521.046735132</v>
      </c>
      <c r="D45" s="64" t="n">
        <f aca="false">SUM(Q45:AB45)</f>
        <v>-568116.153315801</v>
      </c>
      <c r="E45" s="65" t="n">
        <f aca="false">-IF(Revenue!E15=0,0,People!E223*E42/Revenue!E15)</f>
        <v>-33398.3480878345</v>
      </c>
      <c r="F45" s="65" t="n">
        <f aca="false">-IF(Revenue!F15=0,0,People!F223*F42/Revenue!F15)</f>
        <v>-28752.4457582609</v>
      </c>
      <c r="G45" s="65" t="n">
        <f aca="false">-IF(Revenue!G15=0,0,People!G223*G42/Revenue!G15)</f>
        <v>-34886.6090291597</v>
      </c>
      <c r="H45" s="65" t="n">
        <f aca="false">-IF(Revenue!H15=0,0,People!H223*H42/Revenue!H15)</f>
        <v>-30843.8219008968</v>
      </c>
      <c r="I45" s="65" t="n">
        <f aca="false">-IF(Revenue!I15=0,0,People!I223*I42/Revenue!I15)</f>
        <v>-35394.5363249118</v>
      </c>
      <c r="J45" s="65" t="n">
        <f aca="false">-IF(Revenue!J15=0,0,People!J223*J42/Revenue!J15)</f>
        <v>-38802.0197868704</v>
      </c>
      <c r="K45" s="65" t="n">
        <f aca="false">-IF(Revenue!K15=0,0,People!K223*K42/Revenue!K15)</f>
        <v>-34454.6411661422</v>
      </c>
      <c r="L45" s="65" t="n">
        <f aca="false">-IF(Revenue!L15=0,0,People!L223*L42/Revenue!L15)</f>
        <v>-28540.9992949099</v>
      </c>
      <c r="M45" s="65" t="n">
        <f aca="false">-IF(Revenue!M15=0,0,People!M223*M42/Revenue!M15)</f>
        <v>-44747.4679542325</v>
      </c>
      <c r="N45" s="65" t="n">
        <f aca="false">-IF(Revenue!N15=0,0,People!N223*N42/Revenue!N15)</f>
        <v>-38699.1402154058</v>
      </c>
      <c r="O45" s="65" t="n">
        <f aca="false">-IF(Revenue!O15=0,0,People!O223*O42/Revenue!O15)</f>
        <v>-39986.6592746505</v>
      </c>
      <c r="P45" s="65" t="n">
        <f aca="false">-IF(Revenue!P15=0,0,People!P223*P42/Revenue!P15)</f>
        <v>-39014.3579418573</v>
      </c>
      <c r="Q45" s="65" t="n">
        <f aca="false">-IF(Revenue!Q15=0,0,People!Q223*Q42/Revenue!Q15)</f>
        <v>-46461.9016092202</v>
      </c>
      <c r="R45" s="65" t="n">
        <f aca="false">-IF(Revenue!R15=0,0,People!R223*R42/Revenue!R15)</f>
        <v>-42728.5057658873</v>
      </c>
      <c r="S45" s="65" t="n">
        <f aca="false">-IF(Revenue!S15=0,0,People!S223*S42/Revenue!S15)</f>
        <v>-51983.9627915389</v>
      </c>
      <c r="T45" s="65" t="n">
        <f aca="false">-IF(Revenue!T15=0,0,People!T223*T42/Revenue!T15)</f>
        <v>-45512.0579988834</v>
      </c>
      <c r="U45" s="65" t="n">
        <f aca="false">-IF(Revenue!U15=0,0,People!U223*U42/Revenue!U15)</f>
        <v>-45487.5055524563</v>
      </c>
      <c r="V45" s="65" t="n">
        <f aca="false">-IF(Revenue!V15=0,0,People!V223*V42/Revenue!V15)</f>
        <v>-55879.7990363018</v>
      </c>
      <c r="W45" s="65" t="n">
        <f aca="false">-IF(Revenue!W15=0,0,People!W223*W42/Revenue!W15)</f>
        <v>-41679.9142093736</v>
      </c>
      <c r="X45" s="65" t="n">
        <f aca="false">-IF(Revenue!X15=0,0,People!X223*X42/Revenue!X15)</f>
        <v>-36452.1183634861</v>
      </c>
      <c r="Y45" s="65" t="n">
        <f aca="false">-IF(Revenue!Y15=0,0,People!Y223*Y42/Revenue!Y15)</f>
        <v>-52666.4254776419</v>
      </c>
      <c r="Z45" s="65" t="n">
        <f aca="false">-IF(Revenue!Z15=0,0,People!Z223*Z42/Revenue!Z15)</f>
        <v>-51902.2599602622</v>
      </c>
      <c r="AA45" s="65" t="n">
        <f aca="false">-IF(Revenue!AA15=0,0,People!AA223*AA42/Revenue!AA15)</f>
        <v>-51088.6403768914</v>
      </c>
      <c r="AB45" s="65" t="n">
        <f aca="false">-IF(Revenue!AB15=0,0,People!AB223*AB42/Revenue!AB15)</f>
        <v>-46273.0621738583</v>
      </c>
    </row>
    <row r="46" customFormat="false" ht="15" hidden="false" customHeight="false" outlineLevel="0" collapsed="false">
      <c r="A46" s="58" t="s">
        <v>1092</v>
      </c>
      <c r="B46" s="59"/>
      <c r="C46" s="60" t="n">
        <f aca="false">SUM(E46:P46)</f>
        <v>1753657.03216003</v>
      </c>
      <c r="D46" s="60" t="n">
        <f aca="false">SUM(Q46:AB46)</f>
        <v>2487098.47763069</v>
      </c>
      <c r="E46" s="60" t="n">
        <f aca="false">E42+E43+E44+E45</f>
        <v>132763.851561789</v>
      </c>
      <c r="F46" s="60" t="n">
        <f aca="false">F42+F43+F44+F45</f>
        <v>106514.548999578</v>
      </c>
      <c r="G46" s="60" t="n">
        <f aca="false">G42+G43+G44+G45</f>
        <v>134251.684679154</v>
      </c>
      <c r="H46" s="60" t="n">
        <f aca="false">H42+H43+H44+H45</f>
        <v>108503.43678218</v>
      </c>
      <c r="I46" s="60" t="n">
        <f aca="false">I42+I43+I44+I45</f>
        <v>128933.044290148</v>
      </c>
      <c r="J46" s="60" t="n">
        <f aca="false">J42+J43+J44+J45</f>
        <v>157944.615927091</v>
      </c>
      <c r="K46" s="60" t="n">
        <f aca="false">K42+K43+K44+K45</f>
        <v>147235.937408453</v>
      </c>
      <c r="L46" s="60" t="n">
        <f aca="false">L42+L43+L44+L45</f>
        <v>162199.391623668</v>
      </c>
      <c r="M46" s="60" t="n">
        <f aca="false">M42+M43+M44+M45</f>
        <v>228152.216121291</v>
      </c>
      <c r="N46" s="60" t="n">
        <f aca="false">N42+N43+N44+N45</f>
        <v>140375.911354585</v>
      </c>
      <c r="O46" s="60" t="n">
        <f aca="false">O42+O43+O44+O45</f>
        <v>148643.750856467</v>
      </c>
      <c r="P46" s="60" t="n">
        <f aca="false">P42+P43+P44+P45</f>
        <v>158138.642555627</v>
      </c>
      <c r="Q46" s="60" t="n">
        <f aca="false">Q42+Q43+Q44+Q45</f>
        <v>167740.649586417</v>
      </c>
      <c r="R46" s="60" t="n">
        <f aca="false">R42+R43+R44+R45</f>
        <v>157226.731522973</v>
      </c>
      <c r="S46" s="60" t="n">
        <f aca="false">S42+S43+S44+S45</f>
        <v>259640.98379088</v>
      </c>
      <c r="T46" s="60" t="n">
        <f aca="false">T42+T43+T44+T45</f>
        <v>162830.033476559</v>
      </c>
      <c r="U46" s="60" t="n">
        <f aca="false">U42+U43+U44+U45</f>
        <v>172038.952158553</v>
      </c>
      <c r="V46" s="60" t="n">
        <f aca="false">V42+V43+V44+V45</f>
        <v>284312.864532503</v>
      </c>
      <c r="W46" s="60" t="n">
        <f aca="false">W42+W43+W44+W45</f>
        <v>180306.34535166</v>
      </c>
      <c r="X46" s="60" t="n">
        <f aca="false">X42+X43+X44+X45</f>
        <v>201369.384274587</v>
      </c>
      <c r="Y46" s="60" t="n">
        <f aca="false">Y42+Y43+Y44+Y45</f>
        <v>231360.855401779</v>
      </c>
      <c r="Z46" s="60" t="n">
        <f aca="false">Z42+Z43+Z44+Z45</f>
        <v>248160.324200333</v>
      </c>
      <c r="AA46" s="60" t="n">
        <f aca="false">AA42+AA43+AA44+AA45</f>
        <v>226328.165193978</v>
      </c>
      <c r="AB46" s="60" t="n">
        <f aca="false">AB42+AB43+AB44+AB45</f>
        <v>195783.188140464</v>
      </c>
    </row>
    <row r="47" customFormat="false" ht="15" hidden="false" customHeight="false" outlineLevel="0" collapsed="false">
      <c r="A47" s="28" t="s">
        <v>1093</v>
      </c>
      <c r="B47" s="62"/>
      <c r="C47" s="66" t="n">
        <f aca="false">IF(C42=0,0,C46/C42)</f>
        <v>0.560595999568655</v>
      </c>
      <c r="D47" s="66" t="n">
        <f aca="false">IF(D42=0,0,D46/D42)</f>
        <v>0.581664851414622</v>
      </c>
      <c r="E47" s="75" t="n">
        <f aca="false">IF(E42=0,0,E46/E42)</f>
        <v>0.554744598257181</v>
      </c>
      <c r="F47" s="75" t="n">
        <f aca="false">IF(F42=0,0,F46/F42)</f>
        <v>0.509503789088208</v>
      </c>
      <c r="G47" s="75" t="n">
        <f aca="false">IF(G42=0,0,G46/G42)</f>
        <v>0.559525118045417</v>
      </c>
      <c r="H47" s="75" t="n">
        <f aca="false">IF(H42=0,0,H46/H42)</f>
        <v>0.513677967265879</v>
      </c>
      <c r="I47" s="75" t="n">
        <f aca="false">IF(I42=0,0,I46/I42)</f>
        <v>0.537575481708867</v>
      </c>
      <c r="J47" s="75" t="n">
        <f aca="false">IF(J42=0,0,J46/J42)</f>
        <v>0.576229838161971</v>
      </c>
      <c r="K47" s="75" t="n">
        <f aca="false">IF(K42=0,0,K46/K42)</f>
        <v>0.544377823602347</v>
      </c>
      <c r="L47" s="75" t="n">
        <f aca="false">IF(L42=0,0,L46/L42)</f>
        <v>0.580845226883467</v>
      </c>
      <c r="M47" s="75" t="n">
        <f aca="false">IF(M42=0,0,M46/M42)</f>
        <v>0.629726899486175</v>
      </c>
      <c r="N47" s="75" t="n">
        <f aca="false">IF(N42=0,0,N46/N42)</f>
        <v>0.550044390514589</v>
      </c>
      <c r="O47" s="75" t="n">
        <f aca="false">IF(O42=0,0,O46/O42)</f>
        <v>0.554481611669885</v>
      </c>
      <c r="P47" s="75" t="n">
        <f aca="false">IF(P42=0,0,P46/P42)</f>
        <v>0.565973263311931</v>
      </c>
      <c r="Q47" s="75" t="n">
        <f aca="false">IF(Q42=0,0,Q46/Q42)</f>
        <v>0.547847596919561</v>
      </c>
      <c r="R47" s="75" t="n">
        <f aca="false">IF(R42=0,0,R46/R42)</f>
        <v>0.534234211511761</v>
      </c>
      <c r="S47" s="75" t="n">
        <f aca="false">IF(S42=0,0,S46/S42)</f>
        <v>0.634065164903059</v>
      </c>
      <c r="T47" s="75" t="n">
        <f aca="false">IF(T42=0,0,T46/T42)</f>
        <v>0.532208116287421</v>
      </c>
      <c r="U47" s="75" t="n">
        <f aca="false">IF(U42=0,0,U46/U42)</f>
        <v>0.539499692852894</v>
      </c>
      <c r="V47" s="75" t="n">
        <f aca="false">IF(V42=0,0,V46/V42)</f>
        <v>0.643228908769588</v>
      </c>
      <c r="W47" s="75" t="n">
        <f aca="false">IF(W42=0,0,W46/W42)</f>
        <v>0.555751457865509</v>
      </c>
      <c r="X47" s="75" t="n">
        <f aca="false">IF(X42=0,0,X46/X42)</f>
        <v>0.588881536844193</v>
      </c>
      <c r="Y47" s="75" t="n">
        <f aca="false">IF(Y42=0,0,Y46/Y42)</f>
        <v>0.594118355036938</v>
      </c>
      <c r="Z47" s="75" t="n">
        <f aca="false">IF(Z42=0,0,Z46/Z42)</f>
        <v>0.610588839461491</v>
      </c>
      <c r="AA47" s="75" t="n">
        <f aca="false">IF(AA42=0,0,AA46/AA42)</f>
        <v>0.587829062021203</v>
      </c>
      <c r="AB47" s="75" t="n">
        <f aca="false">IF(AB42=0,0,AB46/AB42)</f>
        <v>0.556596994392627</v>
      </c>
    </row>
    <row r="48" customFormat="false" ht="15" hidden="false" customHeight="false" outlineLevel="0" collapsed="false">
      <c r="A48" s="22" t="s">
        <v>1094</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customFormat="false" ht="15" hidden="false" customHeight="false" outlineLevel="0" collapsed="false">
      <c r="A49" s="28" t="s">
        <v>1095</v>
      </c>
      <c r="B49" s="62"/>
      <c r="C49" s="64" t="n">
        <f aca="false">SUM(E49:P49)</f>
        <v>3971084.84348272</v>
      </c>
      <c r="D49" s="64" t="n">
        <f aca="false">SUM(Q49:AB49)</f>
        <v>5378762.16337838</v>
      </c>
      <c r="E49" s="73" t="n">
        <f aca="false">E13+E20+E27</f>
        <v>292463.015343639</v>
      </c>
      <c r="F49" s="73" t="n">
        <f aca="false">F13+F20+F27</f>
        <v>274229.692257631</v>
      </c>
      <c r="G49" s="73" t="n">
        <f aca="false">G13+G20+G27</f>
        <v>302209.009203186</v>
      </c>
      <c r="H49" s="73" t="n">
        <f aca="false">H13+H20+H27</f>
        <v>282186.848367269</v>
      </c>
      <c r="I49" s="73" t="n">
        <f aca="false">I13+I20+I27</f>
        <v>302832.274836976</v>
      </c>
      <c r="J49" s="73" t="n">
        <f aca="false">J13+J20+J27</f>
        <v>340849.741353802</v>
      </c>
      <c r="K49" s="73" t="n">
        <f aca="false">K13+K20+K27</f>
        <v>335772.06740961</v>
      </c>
      <c r="L49" s="73" t="n">
        <f aca="false">L13+L20+L27</f>
        <v>357133.788213165</v>
      </c>
      <c r="M49" s="73" t="n">
        <f aca="false">M13+M20+M27</f>
        <v>419822.366598247</v>
      </c>
      <c r="N49" s="73" t="n">
        <f aca="false">N13+N20+N27</f>
        <v>339776.143227913</v>
      </c>
      <c r="O49" s="73" t="n">
        <f aca="false">O13+O20+O27</f>
        <v>355640.409049599</v>
      </c>
      <c r="P49" s="73" t="n">
        <f aca="false">P13+P20+P27</f>
        <v>368169.487621686</v>
      </c>
      <c r="Q49" s="73" t="n">
        <f aca="false">Q13+Q20+Q27</f>
        <v>380451.863949584</v>
      </c>
      <c r="R49" s="73" t="n">
        <f aca="false">R13+R20+R27</f>
        <v>374356.943198298</v>
      </c>
      <c r="S49" s="73" t="n">
        <f aca="false">S13+S20+S27</f>
        <v>489460.627021683</v>
      </c>
      <c r="T49" s="73" t="n">
        <f aca="false">T13+T20+T27</f>
        <v>388581.862940941</v>
      </c>
      <c r="U49" s="73" t="n">
        <f aca="false">U13+U20+U27</f>
        <v>407143.020042167</v>
      </c>
      <c r="V49" s="73" t="n">
        <f aca="false">V13+V20+V27</f>
        <v>523421.902771255</v>
      </c>
      <c r="W49" s="73" t="n">
        <f aca="false">W13+W20+W27</f>
        <v>424516.579280427</v>
      </c>
      <c r="X49" s="73" t="n">
        <f aca="false">X13+X20+X27</f>
        <v>453499.200872068</v>
      </c>
      <c r="Y49" s="73" t="n">
        <f aca="false">Y13+Y20+Y27</f>
        <v>479465.252025539</v>
      </c>
      <c r="Z49" s="73" t="n">
        <f aca="false">Z13+Z20+Z27</f>
        <v>506561.073603314</v>
      </c>
      <c r="AA49" s="73" t="n">
        <f aca="false">AA13+AA20+AA27</f>
        <v>488660.738675482</v>
      </c>
      <c r="AB49" s="73" t="n">
        <f aca="false">AB13+AB20+AB27</f>
        <v>462643.098997618</v>
      </c>
    </row>
    <row r="50" customFormat="false" ht="15" hidden="false" customHeight="false" outlineLevel="0" collapsed="false">
      <c r="A50" s="28" t="s">
        <v>1096</v>
      </c>
      <c r="B50" s="62" t="s">
        <v>30</v>
      </c>
      <c r="C50" s="64" t="n">
        <f aca="false">SUM(E50:P50)</f>
        <v>-99021.9466393482</v>
      </c>
      <c r="D50" s="64" t="n">
        <f aca="false">SUM(Q50:AB50)</f>
        <v>0</v>
      </c>
      <c r="E50" s="65" t="n">
        <f aca="false">PL!E22</f>
        <v>-0</v>
      </c>
      <c r="F50" s="65" t="n">
        <f aca="false">PL!F22</f>
        <v>-0</v>
      </c>
      <c r="G50" s="65" t="n">
        <f aca="false">PL!G22</f>
        <v>-0</v>
      </c>
      <c r="H50" s="65" t="n">
        <f aca="false">PL!H22</f>
        <v>-0</v>
      </c>
      <c r="I50" s="65" t="n">
        <f aca="false">PL!I22</f>
        <v>-0</v>
      </c>
      <c r="J50" s="65" t="n">
        <f aca="false">PL!J22</f>
        <v>-47755.4918815664</v>
      </c>
      <c r="K50" s="65" t="n">
        <f aca="false">PL!K22</f>
        <v>-22315.4549521027</v>
      </c>
      <c r="L50" s="65" t="n">
        <f aca="false">PL!L22</f>
        <v>-27832.9606967372</v>
      </c>
      <c r="M50" s="65" t="n">
        <f aca="false">PL!M22</f>
        <v>-1118.03910894193</v>
      </c>
      <c r="N50" s="65" t="n">
        <f aca="false">PL!N22</f>
        <v>-0</v>
      </c>
      <c r="O50" s="65" t="n">
        <f aca="false">PL!O22</f>
        <v>-0</v>
      </c>
      <c r="P50" s="65" t="n">
        <f aca="false">PL!P22</f>
        <v>-0</v>
      </c>
      <c r="Q50" s="65" t="n">
        <f aca="false">PL!Q22</f>
        <v>-0</v>
      </c>
      <c r="R50" s="65" t="n">
        <f aca="false">PL!R22</f>
        <v>-0</v>
      </c>
      <c r="S50" s="65" t="n">
        <f aca="false">PL!S22</f>
        <v>-0</v>
      </c>
      <c r="T50" s="65" t="n">
        <f aca="false">PL!T22</f>
        <v>-0</v>
      </c>
      <c r="U50" s="65" t="n">
        <f aca="false">PL!U22</f>
        <v>-0</v>
      </c>
      <c r="V50" s="65" t="n">
        <f aca="false">PL!V22</f>
        <v>-0</v>
      </c>
      <c r="W50" s="65" t="n">
        <f aca="false">PL!W22</f>
        <v>-0</v>
      </c>
      <c r="X50" s="65" t="n">
        <f aca="false">PL!X22</f>
        <v>-0</v>
      </c>
      <c r="Y50" s="65" t="n">
        <f aca="false">PL!Y22</f>
        <v>-0</v>
      </c>
      <c r="Z50" s="65" t="n">
        <f aca="false">PL!Z22</f>
        <v>-0</v>
      </c>
      <c r="AA50" s="65" t="n">
        <f aca="false">PL!AA22</f>
        <v>-0</v>
      </c>
      <c r="AB50" s="65" t="n">
        <f aca="false">PL!AB22</f>
        <v>-0</v>
      </c>
    </row>
    <row r="51" customFormat="false" ht="15" hidden="false" customHeight="false" outlineLevel="0" collapsed="false">
      <c r="A51" s="58" t="s">
        <v>417</v>
      </c>
      <c r="B51" s="59"/>
      <c r="C51" s="60" t="n">
        <f aca="false">SUM(E51:P51)</f>
        <v>3872062.89684337</v>
      </c>
      <c r="D51" s="60" t="n">
        <f aca="false">SUM(Q51:AB51)</f>
        <v>5378762.16337838</v>
      </c>
      <c r="E51" s="60" t="n">
        <f aca="false">E49+E50</f>
        <v>292463.015343639</v>
      </c>
      <c r="F51" s="60" t="n">
        <f aca="false">F49+F50</f>
        <v>274229.692257631</v>
      </c>
      <c r="G51" s="60" t="n">
        <f aca="false">G49+G50</f>
        <v>302209.009203186</v>
      </c>
      <c r="H51" s="60" t="n">
        <f aca="false">H49+H50</f>
        <v>282186.848367269</v>
      </c>
      <c r="I51" s="60" t="n">
        <f aca="false">I49+I50</f>
        <v>302832.274836976</v>
      </c>
      <c r="J51" s="60" t="n">
        <f aca="false">J49+J50</f>
        <v>293094.249472236</v>
      </c>
      <c r="K51" s="60" t="n">
        <f aca="false">K49+K50</f>
        <v>313456.612457507</v>
      </c>
      <c r="L51" s="60" t="n">
        <f aca="false">L49+L50</f>
        <v>329300.827516428</v>
      </c>
      <c r="M51" s="60" t="n">
        <f aca="false">M49+M50</f>
        <v>418704.327489305</v>
      </c>
      <c r="N51" s="60" t="n">
        <f aca="false">N49+N50</f>
        <v>339776.143227913</v>
      </c>
      <c r="O51" s="60" t="n">
        <f aca="false">O49+O50</f>
        <v>355640.409049599</v>
      </c>
      <c r="P51" s="60" t="n">
        <f aca="false">P49+P50</f>
        <v>368169.487621686</v>
      </c>
      <c r="Q51" s="60" t="n">
        <f aca="false">Q49+Q50</f>
        <v>380451.863949584</v>
      </c>
      <c r="R51" s="60" t="n">
        <f aca="false">R49+R50</f>
        <v>374356.943198298</v>
      </c>
      <c r="S51" s="60" t="n">
        <f aca="false">S49+S50</f>
        <v>489460.627021683</v>
      </c>
      <c r="T51" s="60" t="n">
        <f aca="false">T49+T50</f>
        <v>388581.862940941</v>
      </c>
      <c r="U51" s="60" t="n">
        <f aca="false">U49+U50</f>
        <v>407143.020042167</v>
      </c>
      <c r="V51" s="60" t="n">
        <f aca="false">V49+V50</f>
        <v>523421.902771255</v>
      </c>
      <c r="W51" s="60" t="n">
        <f aca="false">W49+W50</f>
        <v>424516.579280427</v>
      </c>
      <c r="X51" s="60" t="n">
        <f aca="false">X49+X50</f>
        <v>453499.200872068</v>
      </c>
      <c r="Y51" s="60" t="n">
        <f aca="false">Y49+Y50</f>
        <v>479465.252025539</v>
      </c>
      <c r="Z51" s="60" t="n">
        <f aca="false">Z49+Z50</f>
        <v>506561.073603314</v>
      </c>
      <c r="AA51" s="60" t="n">
        <f aca="false">AA49+AA50</f>
        <v>488660.738675482</v>
      </c>
      <c r="AB51" s="60" t="n">
        <f aca="false">AB49+AB50</f>
        <v>462643.098997618</v>
      </c>
    </row>
    <row r="52" customFormat="false" ht="15" hidden="false" customHeight="false" outlineLevel="0" collapsed="false">
      <c r="A52" s="28" t="s">
        <v>1097</v>
      </c>
      <c r="B52" s="62"/>
      <c r="C52" s="64" t="n">
        <f aca="false">SUM(E52:P52)</f>
        <v>0</v>
      </c>
      <c r="D52" s="64" t="n">
        <f aca="false">SUM(Q52:AB52)</f>
        <v>0</v>
      </c>
      <c r="E52" s="65" t="n">
        <f aca="false">ROUND(E51-PL!E26,2)</f>
        <v>0</v>
      </c>
      <c r="F52" s="65" t="n">
        <f aca="false">ROUND(F51-PL!F26,2)</f>
        <v>0</v>
      </c>
      <c r="G52" s="65" t="n">
        <f aca="false">ROUND(G51-PL!G26,2)</f>
        <v>0</v>
      </c>
      <c r="H52" s="65" t="n">
        <f aca="false">ROUND(H51-PL!H26,2)</f>
        <v>0</v>
      </c>
      <c r="I52" s="65" t="n">
        <f aca="false">ROUND(I51-PL!I26,2)</f>
        <v>0</v>
      </c>
      <c r="J52" s="65" t="n">
        <f aca="false">ROUND(J51-PL!J26,2)</f>
        <v>0</v>
      </c>
      <c r="K52" s="65" t="n">
        <f aca="false">ROUND(K51-PL!K26,2)</f>
        <v>0</v>
      </c>
      <c r="L52" s="65" t="n">
        <f aca="false">ROUND(L51-PL!L26,2)</f>
        <v>0</v>
      </c>
      <c r="M52" s="65" t="n">
        <f aca="false">ROUND(M51-PL!M26,2)</f>
        <v>0</v>
      </c>
      <c r="N52" s="65" t="n">
        <f aca="false">ROUND(N51-PL!N26,2)</f>
        <v>0</v>
      </c>
      <c r="O52" s="65" t="n">
        <f aca="false">ROUND(O51-PL!O26,2)</f>
        <v>0</v>
      </c>
      <c r="P52" s="65" t="n">
        <f aca="false">ROUND(P51-PL!P26,2)</f>
        <v>0</v>
      </c>
      <c r="Q52" s="65" t="n">
        <f aca="false">ROUND(Q51-PL!Q26,2)</f>
        <v>0</v>
      </c>
      <c r="R52" s="65" t="n">
        <f aca="false">ROUND(R51-PL!R26,2)</f>
        <v>0</v>
      </c>
      <c r="S52" s="65" t="n">
        <f aca="false">ROUND(S51-PL!S26,2)</f>
        <v>0</v>
      </c>
      <c r="T52" s="65" t="n">
        <f aca="false">ROUND(T51-PL!T26,2)</f>
        <v>0</v>
      </c>
      <c r="U52" s="65" t="n">
        <f aca="false">ROUND(U51-PL!U26,2)</f>
        <v>0</v>
      </c>
      <c r="V52" s="65" t="n">
        <f aca="false">ROUND(V51-PL!V26,2)</f>
        <v>0</v>
      </c>
      <c r="W52" s="65" t="n">
        <f aca="false">ROUND(W51-PL!W26,2)</f>
        <v>0</v>
      </c>
      <c r="X52" s="65" t="n">
        <f aca="false">ROUND(X51-PL!X26,2)</f>
        <v>0</v>
      </c>
      <c r="Y52" s="65" t="n">
        <f aca="false">ROUND(Y51-PL!Y26,2)</f>
        <v>0</v>
      </c>
      <c r="Z52" s="65" t="n">
        <f aca="false">ROUND(Z51-PL!Z26,2)</f>
        <v>0</v>
      </c>
      <c r="AA52" s="65" t="n">
        <f aca="false">ROUND(AA51-PL!AA26,2)</f>
        <v>0</v>
      </c>
      <c r="AB52" s="65" t="n">
        <f aca="false">ROUND(AB51-PL!AB26,2)</f>
        <v>0</v>
      </c>
    </row>
    <row r="53" customFormat="false" ht="15" hidden="false" customHeight="false" outlineLevel="0" collapsed="false">
      <c r="A53" s="28" t="s">
        <v>1098</v>
      </c>
      <c r="B53" s="62"/>
      <c r="C53" s="64" t="n">
        <f aca="false">SUM(E53:P53)</f>
        <v>0</v>
      </c>
      <c r="D53" s="64" t="n">
        <f aca="false">SUM(Q53:AB53)</f>
        <v>0</v>
      </c>
      <c r="E53" s="73" t="n">
        <f aca="false">ROUND(E34+E40+E46-E49,2)</f>
        <v>0</v>
      </c>
      <c r="F53" s="73" t="n">
        <f aca="false">ROUND(F34+F40+F46-F49,2)</f>
        <v>0</v>
      </c>
      <c r="G53" s="73" t="n">
        <f aca="false">ROUND(G34+G40+G46-G49,2)</f>
        <v>0</v>
      </c>
      <c r="H53" s="73" t="n">
        <f aca="false">ROUND(H34+H40+H46-H49,2)</f>
        <v>0</v>
      </c>
      <c r="I53" s="73" t="n">
        <f aca="false">ROUND(I34+I40+I46-I49,2)</f>
        <v>0</v>
      </c>
      <c r="J53" s="73" t="n">
        <f aca="false">ROUND(J34+J40+J46-J49,2)</f>
        <v>0</v>
      </c>
      <c r="K53" s="73" t="n">
        <f aca="false">ROUND(K34+K40+K46-K49,2)</f>
        <v>0</v>
      </c>
      <c r="L53" s="73" t="n">
        <f aca="false">ROUND(L34+L40+L46-L49,2)</f>
        <v>0</v>
      </c>
      <c r="M53" s="73" t="n">
        <f aca="false">ROUND(M34+M40+M46-M49,2)</f>
        <v>0</v>
      </c>
      <c r="N53" s="73" t="n">
        <f aca="false">ROUND(N34+N40+N46-N49,2)</f>
        <v>0</v>
      </c>
      <c r="O53" s="73" t="n">
        <f aca="false">ROUND(O34+O40+O46-O49,2)</f>
        <v>0</v>
      </c>
      <c r="P53" s="73" t="n">
        <f aca="false">ROUND(P34+P40+P46-P49,2)</f>
        <v>0</v>
      </c>
      <c r="Q53" s="73" t="n">
        <f aca="false">ROUND(Q34+Q40+Q46-Q49,2)</f>
        <v>0</v>
      </c>
      <c r="R53" s="73" t="n">
        <f aca="false">ROUND(R34+R40+R46-R49,2)</f>
        <v>0</v>
      </c>
      <c r="S53" s="73" t="n">
        <f aca="false">ROUND(S34+S40+S46-S49,2)</f>
        <v>0</v>
      </c>
      <c r="T53" s="73" t="n">
        <f aca="false">ROUND(T34+T40+T46-T49,2)</f>
        <v>0</v>
      </c>
      <c r="U53" s="73" t="n">
        <f aca="false">ROUND(U34+U40+U46-U49,2)</f>
        <v>0</v>
      </c>
      <c r="V53" s="73" t="n">
        <f aca="false">ROUND(V34+V40+V46-V49,2)</f>
        <v>0</v>
      </c>
      <c r="W53" s="73" t="n">
        <f aca="false">ROUND(W34+W40+W46-W49,2)</f>
        <v>0</v>
      </c>
      <c r="X53" s="73" t="n">
        <f aca="false">ROUND(X34+X40+X46-X49,2)</f>
        <v>0</v>
      </c>
      <c r="Y53" s="73" t="n">
        <f aca="false">ROUND(Y34+Y40+Y46-Y49,2)</f>
        <v>0</v>
      </c>
      <c r="Z53" s="73" t="n">
        <f aca="false">ROUND(Z34+Z40+Z46-Z49,2)</f>
        <v>0</v>
      </c>
      <c r="AA53" s="73" t="n">
        <f aca="false">ROUND(AA34+AA40+AA46-AA49,2)</f>
        <v>0</v>
      </c>
      <c r="AB53" s="73" t="n">
        <f aca="false">ROUND(AB34+AB40+AB46-AB49,2)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5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1099</v>
      </c>
    </row>
    <row r="3" customFormat="false" ht="15" hidden="false" customHeight="false" outlineLevel="0" collapsed="false">
      <c r="A3" s="49" t="s">
        <v>1100</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1101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1102</v>
      </c>
      <c r="B9" s="62" t="s">
        <v>1103</v>
      </c>
      <c r="C9" s="67" t="n">
        <f aca="false">P9</f>
        <v>7.86887040895062</v>
      </c>
      <c r="D9" s="67" t="n">
        <f aca="false">AB9</f>
        <v>8.85245901639319</v>
      </c>
      <c r="E9" s="68" t="n">
        <f aca="false">IF(E$5="A",Inputs_Actuals!E127,Assumptions!$F$88+0*Assumptions!$F$194-E24)</f>
        <v>7</v>
      </c>
      <c r="F9" s="68" t="n">
        <f aca="false">IF(F$5="A",Inputs_Actuals!F127,E9+0*Assumptions!$F$194-F24)</f>
        <v>8</v>
      </c>
      <c r="G9" s="68" t="n">
        <f aca="false">IF(G$5="A",Inputs_Actuals!G127,F9+0*Assumptions!$F$194-G24+IF(E$5="F",E24,0)*Assumptions!$F$195)</f>
        <v>8</v>
      </c>
      <c r="H9" s="68" t="n">
        <f aca="false">IF(H$5="A",Inputs_Actuals!H127,G9+0*Assumptions!$F$194-H24+IF(F$5="F",F24,0)*Assumptions!$F$195)</f>
        <v>8</v>
      </c>
      <c r="I9" s="68" t="n">
        <f aca="false">IF(I$5="A",Inputs_Actuals!I127,H9+0*Assumptions!$F$194-I24+IF(G$5="F",G24,0)*Assumptions!$F$195)</f>
        <v>8</v>
      </c>
      <c r="J9" s="68" t="n">
        <f aca="false">IF(J$5="A",Inputs_Actuals!J127,I9+0*Assumptions!$F$194-J24+IF(H$5="F",H24,0)*Assumptions!$F$195)</f>
        <v>8</v>
      </c>
      <c r="K9" s="68" t="n">
        <f aca="false">IF(K$5="A",Inputs_Actuals!K127,J9+0*Assumptions!$F$194-K24+IF(I$5="F",I24,0)*Assumptions!$F$195)</f>
        <v>8</v>
      </c>
      <c r="L9" s="68" t="n">
        <f aca="false">IF(L$5="A",Inputs_Actuals!L127,K9+0*Assumptions!$F$194-L24+IF(J$5="F",J24,0)*Assumptions!$F$195)</f>
        <v>8</v>
      </c>
      <c r="M9" s="68" t="n">
        <f aca="false">IF(M$5="A",Inputs_Actuals!M127,L9+0*Assumptions!$F$194-M24+IF(K$5="F",K24,0)*Assumptions!$F$195)</f>
        <v>7.93333333333333</v>
      </c>
      <c r="N9" s="68" t="n">
        <f aca="false">IF(N$5="A",Inputs_Actuals!N127,M9+0*Assumptions!$F$194-N24+IF(L$5="F",L24,0)*Assumptions!$F$195)</f>
        <v>7.86722222222222</v>
      </c>
      <c r="O9" s="68" t="n">
        <f aca="false">IF(O$5="A",Inputs_Actuals!O127,N9+0*Assumptions!$F$194-O24+IF(M$5="F",M24,0)*Assumptions!$F$195)</f>
        <v>7.8683287037037</v>
      </c>
      <c r="P9" s="68" t="n">
        <f aca="false">IF(P$5="A",Inputs_Actuals!P127,O9+0*Assumptions!$F$194-P24+IF(N$5="F",N24,0)*Assumptions!$F$195)</f>
        <v>7.86887040895062</v>
      </c>
      <c r="Q9" s="68" t="n">
        <f aca="false">IF(Q$5="A",Inputs_Actuals!Q127,P9+1*Assumptions!$F$194-Q24+IF(O$5="F",O24,0)*Assumptions!$F$195)</f>
        <v>8.86885667406122</v>
      </c>
      <c r="R9" s="68" t="n">
        <f aca="false">IF(R$5="A",Inputs_Actuals!R127,Q9+0*Assumptions!$F$194-R24+IF(P$5="F",P24,0)*Assumptions!$F$195)</f>
        <v>8.8605189409749</v>
      </c>
      <c r="S9" s="68" t="n">
        <f aca="false">IF(S$5="A",Inputs_Actuals!S127,R9+0*Assumptions!$F$194-S24+IF(Q$5="F",Q24,0)*Assumptions!$F$195)</f>
        <v>8.85225520320803</v>
      </c>
      <c r="T9" s="68" t="n">
        <f aca="false">IF(T$5="A",Inputs_Actuals!T127,S9+0*Assumptions!$F$194-T24+IF(R$5="F",R24,0)*Assumptions!$F$195)</f>
        <v>8.85239354879848</v>
      </c>
      <c r="U9" s="68" t="n">
        <f aca="false">IF(U$5="A",Inputs_Actuals!U127,T9+0*Assumptions!$F$194-U24+IF(S$5="F",S24,0)*Assumptions!$F$195)</f>
        <v>8.85246126039995</v>
      </c>
      <c r="V9" s="68" t="n">
        <f aca="false">IF(V$5="A",Inputs_Actuals!V127,U9+0*Assumptions!$F$194-V24+IF(T$5="F",T24,0)*Assumptions!$F$195)</f>
        <v>8.85245954325668</v>
      </c>
      <c r="W9" s="68" t="n">
        <f aca="false">IF(W$5="A",Inputs_Actuals!W127,V9+0*Assumptions!$F$194-W24+IF(U$5="F",U24,0)*Assumptions!$F$195)</f>
        <v>8.85245899330286</v>
      </c>
      <c r="X9" s="68" t="n">
        <f aca="false">IF(X$5="A",Inputs_Actuals!X127,W9+0*Assumptions!$F$194-X24+IF(V$5="F",V24,0)*Assumptions!$F$195)</f>
        <v>8.85245901219534</v>
      </c>
      <c r="Y9" s="68" t="n">
        <f aca="false">IF(Y$5="A",Inputs_Actuals!Y127,X9+0*Assumptions!$F$194-Y24+IF(W$5="F",W24,0)*Assumptions!$F$195)</f>
        <v>8.85245901662085</v>
      </c>
      <c r="Z9" s="68" t="n">
        <f aca="false">IF(Z$5="A",Inputs_Actuals!Z127,Y9+0*Assumptions!$F$194-Z24+IF(X$5="F",X24,0)*Assumptions!$F$195)</f>
        <v>8.85245901642653</v>
      </c>
      <c r="AA9" s="68" t="n">
        <f aca="false">IF(AA$5="A",Inputs_Actuals!AA127,Z9+0*Assumptions!$F$194-AA24+IF(Y$5="F",Y24,0)*Assumptions!$F$195)</f>
        <v>8.85245901639127</v>
      </c>
      <c r="AB9" s="68" t="n">
        <f aca="false">IF(AB$5="A",Inputs_Actuals!AB127,AA9+0*Assumptions!$F$194-AB24+IF(Z$5="F",Z24,0)*Assumptions!$F$195)</f>
        <v>8.85245901639319</v>
      </c>
    </row>
    <row r="10" customFormat="false" ht="15" hidden="false" customHeight="false" outlineLevel="0" collapsed="false">
      <c r="A10" s="28" t="s">
        <v>1104</v>
      </c>
      <c r="B10" s="62" t="s">
        <v>1103</v>
      </c>
      <c r="C10" s="67" t="n">
        <f aca="false">P10</f>
        <v>11.8030995900849</v>
      </c>
      <c r="D10" s="67" t="n">
        <f aca="false">AB10</f>
        <v>13.7704263338977</v>
      </c>
      <c r="E10" s="68" t="n">
        <f aca="false">IF(E$5="A",Inputs_Actuals!E128,Assumptions!$F$89+0*Assumptions!$F$194-E25)</f>
        <v>11</v>
      </c>
      <c r="F10" s="68" t="n">
        <f aca="false">IF(F$5="A",Inputs_Actuals!F128,E10+0*Assumptions!$F$194-F25)</f>
        <v>11</v>
      </c>
      <c r="G10" s="68" t="n">
        <f aca="false">IF(G$5="A",Inputs_Actuals!G128,F10+0*Assumptions!$F$194-G25+IF(E$5="F",E25,0)*Assumptions!$F$195)</f>
        <v>11</v>
      </c>
      <c r="H10" s="68" t="n">
        <f aca="false">IF(H$5="A",Inputs_Actuals!H128,G10+0*Assumptions!$F$194-H25+IF(F$5="F",F25,0)*Assumptions!$F$195)</f>
        <v>12</v>
      </c>
      <c r="I10" s="68" t="n">
        <f aca="false">IF(I$5="A",Inputs_Actuals!I128,H10+0*Assumptions!$F$194-I25+IF(G$5="F",G25,0)*Assumptions!$F$195)</f>
        <v>12</v>
      </c>
      <c r="J10" s="68" t="n">
        <f aca="false">IF(J$5="A",Inputs_Actuals!J128,I10+0*Assumptions!$F$194-J25+IF(H$5="F",H25,0)*Assumptions!$F$195)</f>
        <v>12</v>
      </c>
      <c r="K10" s="68" t="n">
        <f aca="false">IF(K$5="A",Inputs_Actuals!K128,J10+0*Assumptions!$F$194-K25+IF(I$5="F",I25,0)*Assumptions!$F$195)</f>
        <v>12</v>
      </c>
      <c r="L10" s="68" t="n">
        <f aca="false">IF(L$5="A",Inputs_Actuals!L128,K10+0*Assumptions!$F$194-L25+IF(J$5="F",J25,0)*Assumptions!$F$195)</f>
        <v>11</v>
      </c>
      <c r="M10" s="68" t="n">
        <f aca="false">IF(M$5="A",Inputs_Actuals!M128,L10+0*Assumptions!$F$194-M25+IF(K$5="F",K25,0)*Assumptions!$F$195)</f>
        <v>10.9083333333333</v>
      </c>
      <c r="N10" s="68" t="n">
        <f aca="false">IF(N$5="A",Inputs_Actuals!N128,M10+1*Assumptions!$F$194-N25+IF(L$5="F",L25,0)*Assumptions!$F$195)</f>
        <v>11.8174305555556</v>
      </c>
      <c r="O10" s="68" t="n">
        <f aca="false">IF(O$5="A",Inputs_Actuals!O128,N10+0*Assumptions!$F$194-O25+IF(M$5="F",M25,0)*Assumptions!$F$195)</f>
        <v>11.8106186342593</v>
      </c>
      <c r="P10" s="68" t="n">
        <f aca="false">IF(P$5="A",Inputs_Actuals!P128,O10+0*Assumptions!$F$194-P25+IF(N$5="F",N25,0)*Assumptions!$F$195)</f>
        <v>11.8030995900849</v>
      </c>
      <c r="Q10" s="68" t="n">
        <f aca="false">IF(Q$5="A",Inputs_Actuals!Q128,P10+0*Assumptions!$F$194-Q25+IF(O$5="F",O25,0)*Assumptions!$F$195)</f>
        <v>11.8032190147971</v>
      </c>
      <c r="R10" s="68" t="n">
        <f aca="false">IF(R$5="A",Inputs_Actuals!R128,Q10+0*Assumptions!$F$194-R25+IF(P$5="F",P25,0)*Assumptions!$F$195)</f>
        <v>11.8032806782927</v>
      </c>
      <c r="S10" s="68" t="n">
        <f aca="false">IF(S$5="A",Inputs_Actuals!S128,R10+1*Assumptions!$F$194-S25+IF(Q$5="F",Q25,0)*Assumptions!$F$195)</f>
        <v>12.8032791692243</v>
      </c>
      <c r="T10" s="68" t="n">
        <f aca="false">IF(T$5="A",Inputs_Actuals!T128,S10+0*Assumptions!$F$194-T25+IF(R$5="F",R25,0)*Assumptions!$F$195)</f>
        <v>12.794945334604</v>
      </c>
      <c r="U10" s="68" t="n">
        <f aca="false">IF(U$5="A",Inputs_Actuals!U128,T10+0*Assumptions!$F$194-U25+IF(S$5="F",S25,0)*Assumptions!$F$195)</f>
        <v>12.7866814624681</v>
      </c>
      <c r="V10" s="68" t="n">
        <f aca="false">IF(V$5="A",Inputs_Actuals!V128,U10+0*Assumptions!$F$194-V25+IF(T$5="F",T25,0)*Assumptions!$F$195)</f>
        <v>12.7868197766911</v>
      </c>
      <c r="W10" s="68" t="n">
        <f aca="false">IF(W$5="A",Inputs_Actuals!W128,V10+0*Assumptions!$F$194-W25+IF(U$5="F",U25,0)*Assumptions!$F$195)</f>
        <v>12.7868874896737</v>
      </c>
      <c r="X10" s="68" t="n">
        <f aca="false">IF(X$5="A",Inputs_Actuals!X128,W10+0*Assumptions!$F$194-X25+IF(V$5="F",V25,0)*Assumptions!$F$195)</f>
        <v>12.7868857727803</v>
      </c>
      <c r="Y10" s="68" t="n">
        <f aca="false">IF(Y$5="A",Inputs_Actuals!Y128,X10+1*Assumptions!$F$194-Y25+IF(W$5="F",W25,0)*Assumptions!$F$195)</f>
        <v>13.7868852228129</v>
      </c>
      <c r="Z10" s="68" t="n">
        <f aca="false">IF(Z$5="A",Inputs_Actuals!Z128,Y10+0*Assumptions!$F$194-Z25+IF(X$5="F",X25,0)*Assumptions!$F$195)</f>
        <v>13.7785519083701</v>
      </c>
      <c r="AA10" s="68" t="n">
        <f aca="false">IF(AA$5="A",Inputs_Actuals!AA128,Z10+0*Assumptions!$F$194-AA25+IF(Y$5="F",Y25,0)*Assumptions!$F$195)</f>
        <v>13.7702880239068</v>
      </c>
      <c r="AB10" s="68" t="n">
        <f aca="false">IF(AB$5="A",Inputs_Actuals!AB128,AA10+0*Assumptions!$F$194-AB25+IF(Z$5="F",Z25,0)*Assumptions!$F$195)</f>
        <v>13.7704263338977</v>
      </c>
    </row>
    <row r="11" customFormat="false" ht="15" hidden="false" customHeight="false" outlineLevel="0" collapsed="false">
      <c r="A11" s="28" t="s">
        <v>1105</v>
      </c>
      <c r="B11" s="62" t="s">
        <v>1103</v>
      </c>
      <c r="C11" s="67" t="n">
        <f aca="false">P11</f>
        <v>13.7705232156636</v>
      </c>
      <c r="D11" s="67" t="n">
        <f aca="false">AB11</f>
        <v>16.7213114523208</v>
      </c>
      <c r="E11" s="68" t="n">
        <f aca="false">IF(E$5="A",Inputs_Actuals!E129,Assumptions!$F$90+0*Assumptions!$F$194-E26)</f>
        <v>13</v>
      </c>
      <c r="F11" s="68" t="n">
        <f aca="false">IF(F$5="A",Inputs_Actuals!F129,E11+0*Assumptions!$F$194-F26)</f>
        <v>13</v>
      </c>
      <c r="G11" s="68" t="n">
        <f aca="false">IF(G$5="A",Inputs_Actuals!G129,F11+0*Assumptions!$F$194-G26+IF(E$5="F",E26,0)*Assumptions!$F$195)</f>
        <v>14</v>
      </c>
      <c r="H11" s="68" t="n">
        <f aca="false">IF(H$5="A",Inputs_Actuals!H129,G11+0*Assumptions!$F$194-H26+IF(F$5="F",F26,0)*Assumptions!$F$195)</f>
        <v>14</v>
      </c>
      <c r="I11" s="68" t="n">
        <f aca="false">IF(I$5="A",Inputs_Actuals!I129,H11+0*Assumptions!$F$194-I26+IF(G$5="F",G26,0)*Assumptions!$F$195)</f>
        <v>13</v>
      </c>
      <c r="J11" s="68" t="n">
        <f aca="false">IF(J$5="A",Inputs_Actuals!J129,I11+0*Assumptions!$F$194-J26+IF(H$5="F",H26,0)*Assumptions!$F$195)</f>
        <v>14</v>
      </c>
      <c r="K11" s="68" t="n">
        <f aca="false">IF(K$5="A",Inputs_Actuals!K129,J11+0*Assumptions!$F$194-K26+IF(I$5="F",I26,0)*Assumptions!$F$195)</f>
        <v>14</v>
      </c>
      <c r="L11" s="68" t="n">
        <f aca="false">IF(L$5="A",Inputs_Actuals!L129,K11+0*Assumptions!$F$194-L26+IF(J$5="F",J26,0)*Assumptions!$F$195)</f>
        <v>14</v>
      </c>
      <c r="M11" s="68" t="n">
        <f aca="false">IF(M$5="A",Inputs_Actuals!M129,L11+0*Assumptions!$F$194-M26+IF(K$5="F",K26,0)*Assumptions!$F$195)</f>
        <v>13.8833333333333</v>
      </c>
      <c r="N11" s="68" t="n">
        <f aca="false">IF(N$5="A",Inputs_Actuals!N129,M11+0*Assumptions!$F$194-N26+IF(L$5="F",L26,0)*Assumptions!$F$195)</f>
        <v>13.7676388888889</v>
      </c>
      <c r="O11" s="68" t="n">
        <f aca="false">IF(O$5="A",Inputs_Actuals!O129,N11+0*Assumptions!$F$194-O26+IF(M$5="F",M26,0)*Assumptions!$F$195)</f>
        <v>13.7695752314815</v>
      </c>
      <c r="P11" s="68" t="n">
        <f aca="false">IF(P$5="A",Inputs_Actuals!P129,O11+0*Assumptions!$F$194-P26+IF(N$5="F",N26,0)*Assumptions!$F$195)</f>
        <v>13.7705232156636</v>
      </c>
      <c r="Q11" s="68" t="n">
        <f aca="false">IF(Q$5="A",Inputs_Actuals!Q129,P11+2*Assumptions!$F$194-Q26+IF(O$5="F",O26,0)*Assumptions!$F$195)</f>
        <v>15.7704991796071</v>
      </c>
      <c r="R11" s="68" t="n">
        <f aca="false">IF(R$5="A",Inputs_Actuals!R129,Q11+0*Assumptions!$F$194-R26+IF(P$5="F",P26,0)*Assumptions!$F$195)</f>
        <v>15.7538248133727</v>
      </c>
      <c r="S11" s="68" t="n">
        <f aca="false">IF(S$5="A",Inputs_Actuals!S129,R11+0*Assumptions!$F$194-S26+IF(Q$5="F",Q26,0)*Assumptions!$F$195)</f>
        <v>15.7372973000585</v>
      </c>
      <c r="T11" s="68" t="n">
        <f aca="false">IF(T$5="A",Inputs_Actuals!T129,S11+0*Assumptions!$F$194-T26+IF(R$5="F",R26,0)*Assumptions!$F$195)</f>
        <v>15.7375739823881</v>
      </c>
      <c r="U11" s="68" t="n">
        <f aca="false">IF(U$5="A",Inputs_Actuals!U129,T11+0*Assumptions!$F$194-U26+IF(S$5="F",S26,0)*Assumptions!$F$195)</f>
        <v>15.7377094059796</v>
      </c>
      <c r="V11" s="68" t="n">
        <f aca="false">IF(V$5="A",Inputs_Actuals!V129,U11+1*Assumptions!$F$194-V26+IF(T$5="F",T26,0)*Assumptions!$F$195)</f>
        <v>16.7377059717636</v>
      </c>
      <c r="W11" s="68" t="n">
        <f aca="false">IF(W$5="A",Inputs_Actuals!W129,V11+0*Assumptions!$F$194-W26+IF(U$5="F",U26,0)*Assumptions!$F$195)</f>
        <v>16.7293715385188</v>
      </c>
      <c r="X11" s="68" t="n">
        <f aca="false">IF(X$5="A",Inputs_Actuals!X129,W11+0*Assumptions!$F$194-X26+IF(V$5="F",V26,0)*Assumptions!$F$195)</f>
        <v>16.7211076874143</v>
      </c>
      <c r="Y11" s="68" t="n">
        <f aca="false">IF(Y$5="A",Inputs_Actuals!Y129,X11+0*Assumptions!$F$194-Y26+IF(W$5="F",W26,0)*Assumptions!$F$195)</f>
        <v>16.7212460064506</v>
      </c>
      <c r="Z11" s="68" t="n">
        <f aca="false">IF(Z$5="A",Inputs_Actuals!Z129,Y11+0*Assumptions!$F$194-Z26+IF(X$5="F",X26,0)*Assumptions!$F$195)</f>
        <v>16.7213137192178</v>
      </c>
      <c r="AA11" s="68" t="n">
        <f aca="false">IF(AA$5="A",Inputs_Actuals!AA129,Z11+0*Assumptions!$F$194-AA26+IF(Y$5="F",Y26,0)*Assumptions!$F$195)</f>
        <v>16.7213120022861</v>
      </c>
      <c r="AB11" s="68" t="n">
        <f aca="false">IF(AB$5="A",Inputs_Actuals!AB129,AA11+0*Assumptions!$F$194-AB26+IF(Z$5="F",Z26,0)*Assumptions!$F$195)</f>
        <v>16.7213114523208</v>
      </c>
    </row>
    <row r="12" customFormat="false" ht="15" hidden="false" customHeight="false" outlineLevel="0" collapsed="false">
      <c r="A12" s="28" t="s">
        <v>1106</v>
      </c>
      <c r="B12" s="62" t="s">
        <v>1103</v>
      </c>
      <c r="C12" s="67" t="n">
        <f aca="false">P12</f>
        <v>2.95082640335648</v>
      </c>
      <c r="D12" s="67" t="n">
        <f aca="false">AB12</f>
        <v>2.95081967213115</v>
      </c>
      <c r="E12" s="68" t="n">
        <f aca="false">IF(E$5="A",Inputs_Actuals!E130,Assumptions!$F$91+0*Assumptions!$F$194-E27)</f>
        <v>3</v>
      </c>
      <c r="F12" s="68" t="n">
        <f aca="false">IF(F$5="A",Inputs_Actuals!F130,E12+0*Assumptions!$F$194-F27)</f>
        <v>3</v>
      </c>
      <c r="G12" s="68" t="n">
        <f aca="false">IF(G$5="A",Inputs_Actuals!G130,F12+0*Assumptions!$F$194-G27+IF(E$5="F",E27,0)*Assumptions!$F$195)</f>
        <v>3</v>
      </c>
      <c r="H12" s="68" t="n">
        <f aca="false">IF(H$5="A",Inputs_Actuals!H130,G12+0*Assumptions!$F$194-H27+IF(F$5="F",F27,0)*Assumptions!$F$195)</f>
        <v>3</v>
      </c>
      <c r="I12" s="68" t="n">
        <f aca="false">IF(I$5="A",Inputs_Actuals!I130,H12+0*Assumptions!$F$194-I27+IF(G$5="F",G27,0)*Assumptions!$F$195)</f>
        <v>3</v>
      </c>
      <c r="J12" s="68" t="n">
        <f aca="false">IF(J$5="A",Inputs_Actuals!J130,I12+0*Assumptions!$F$194-J27+IF(H$5="F",H27,0)*Assumptions!$F$195)</f>
        <v>3</v>
      </c>
      <c r="K12" s="68" t="n">
        <f aca="false">IF(K$5="A",Inputs_Actuals!K130,J12+0*Assumptions!$F$194-K27+IF(I$5="F",I27,0)*Assumptions!$F$195)</f>
        <v>3</v>
      </c>
      <c r="L12" s="68" t="n">
        <f aca="false">IF(L$5="A",Inputs_Actuals!L130,K12+0*Assumptions!$F$194-L27+IF(J$5="F",J27,0)*Assumptions!$F$195)</f>
        <v>3</v>
      </c>
      <c r="M12" s="68" t="n">
        <f aca="false">IF(M$5="A",Inputs_Actuals!M130,L12+0*Assumptions!$F$194-M27+IF(K$5="F",K27,0)*Assumptions!$F$195)</f>
        <v>2.975</v>
      </c>
      <c r="N12" s="68" t="n">
        <f aca="false">IF(N$5="A",Inputs_Actuals!N130,M12+0*Assumptions!$F$194-N27+IF(L$5="F",L27,0)*Assumptions!$F$195)</f>
        <v>2.95020833333333</v>
      </c>
      <c r="O12" s="68" t="n">
        <f aca="false">IF(O$5="A",Inputs_Actuals!O130,N12+0*Assumptions!$F$194-O27+IF(M$5="F",M27,0)*Assumptions!$F$195)</f>
        <v>2.95062326388889</v>
      </c>
      <c r="P12" s="68" t="n">
        <f aca="false">IF(P$5="A",Inputs_Actuals!P130,O12+0*Assumptions!$F$194-P27+IF(N$5="F",N27,0)*Assumptions!$F$195)</f>
        <v>2.95082640335648</v>
      </c>
      <c r="Q12" s="68" t="n">
        <f aca="false">IF(Q$5="A",Inputs_Actuals!Q130,P12+0*Assumptions!$F$194-Q27+IF(O$5="F",O27,0)*Assumptions!$F$195)</f>
        <v>2.95082125277296</v>
      </c>
      <c r="R12" s="68" t="n">
        <f aca="false">IF(R$5="A",Inputs_Actuals!R130,Q12+0*Assumptions!$F$194-R27+IF(P$5="F",P27,0)*Assumptions!$F$195)</f>
        <v>2.95081960286559</v>
      </c>
      <c r="S12" s="68" t="n">
        <f aca="false">IF(S$5="A",Inputs_Actuals!S130,R12+0*Assumptions!$F$194-S27+IF(Q$5="F",Q27,0)*Assumptions!$F$195)</f>
        <v>2.95081965953635</v>
      </c>
      <c r="T12" s="68" t="n">
        <f aca="false">IF(T$5="A",Inputs_Actuals!T130,S12+0*Assumptions!$F$194-T27+IF(R$5="F",R27,0)*Assumptions!$F$195)</f>
        <v>2.95081967281332</v>
      </c>
      <c r="U12" s="68" t="n">
        <f aca="false">IF(U$5="A",Inputs_Actuals!U130,T12+0*Assumptions!$F$194-U27+IF(S$5="F",S27,0)*Assumptions!$F$195)</f>
        <v>2.95081967223042</v>
      </c>
      <c r="V12" s="68" t="n">
        <f aca="false">IF(V$5="A",Inputs_Actuals!V130,U12+0*Assumptions!$F$194-V27+IF(T$5="F",T27,0)*Assumptions!$F$195)</f>
        <v>2.95081967212464</v>
      </c>
      <c r="W12" s="68" t="n">
        <f aca="false">IF(W$5="A",Inputs_Actuals!W130,V12+0*Assumptions!$F$194-W27+IF(U$5="F",U27,0)*Assumptions!$F$195)</f>
        <v>2.95081967213037</v>
      </c>
      <c r="X12" s="68" t="n">
        <f aca="false">IF(X$5="A",Inputs_Actuals!X130,W12+0*Assumptions!$F$194-X27+IF(V$5="F",V27,0)*Assumptions!$F$195)</f>
        <v>2.95081967213121</v>
      </c>
      <c r="Y12" s="68" t="n">
        <f aca="false">IF(Y$5="A",Inputs_Actuals!Y130,X12+0*Assumptions!$F$194-Y27+IF(W$5="F",W27,0)*Assumptions!$F$195)</f>
        <v>2.95081967213115</v>
      </c>
      <c r="Z12" s="68" t="n">
        <f aca="false">IF(Z$5="A",Inputs_Actuals!Z130,Y12+0*Assumptions!$F$194-Z27+IF(X$5="F",X27,0)*Assumptions!$F$195)</f>
        <v>2.95081967213115</v>
      </c>
      <c r="AA12" s="68" t="n">
        <f aca="false">IF(AA$5="A",Inputs_Actuals!AA130,Z12+0*Assumptions!$F$194-AA27+IF(Y$5="F",Y27,0)*Assumptions!$F$195)</f>
        <v>2.95081967213115</v>
      </c>
      <c r="AB12" s="68" t="n">
        <f aca="false">IF(AB$5="A",Inputs_Actuals!AB130,AA12+0*Assumptions!$F$194-AB27+IF(Z$5="F",Z27,0)*Assumptions!$F$195)</f>
        <v>2.95081967213115</v>
      </c>
    </row>
    <row r="13" customFormat="false" ht="15" hidden="false" customHeight="false" outlineLevel="0" collapsed="false">
      <c r="A13" s="28" t="s">
        <v>1107</v>
      </c>
      <c r="B13" s="62" t="s">
        <v>1103</v>
      </c>
      <c r="C13" s="67" t="n">
        <f aca="false">P13</f>
        <v>5.90165280671296</v>
      </c>
      <c r="D13" s="67" t="n">
        <f aca="false">AB13</f>
        <v>5.90163934426229</v>
      </c>
      <c r="E13" s="68" t="n">
        <f aca="false">IF(E$5="A",Inputs_Actuals!E131,Assumptions!$F$92+0*Assumptions!$F$194-E28)</f>
        <v>6</v>
      </c>
      <c r="F13" s="68" t="n">
        <f aca="false">IF(F$5="A",Inputs_Actuals!F131,E13+0*Assumptions!$F$194-F28)</f>
        <v>6</v>
      </c>
      <c r="G13" s="68" t="n">
        <f aca="false">IF(G$5="A",Inputs_Actuals!G131,F13+0*Assumptions!$F$194-G28+IF(E$5="F",E28,0)*Assumptions!$F$195)</f>
        <v>6</v>
      </c>
      <c r="H13" s="68" t="n">
        <f aca="false">IF(H$5="A",Inputs_Actuals!H131,G13+0*Assumptions!$F$194-H28+IF(F$5="F",F28,0)*Assumptions!$F$195)</f>
        <v>6</v>
      </c>
      <c r="I13" s="68" t="n">
        <f aca="false">IF(I$5="A",Inputs_Actuals!I131,H13+0*Assumptions!$F$194-I28+IF(G$5="F",G28,0)*Assumptions!$F$195)</f>
        <v>6</v>
      </c>
      <c r="J13" s="68" t="n">
        <f aca="false">IF(J$5="A",Inputs_Actuals!J131,I13+0*Assumptions!$F$194-J28+IF(H$5="F",H28,0)*Assumptions!$F$195)</f>
        <v>6</v>
      </c>
      <c r="K13" s="68" t="n">
        <f aca="false">IF(K$5="A",Inputs_Actuals!K131,J13+0*Assumptions!$F$194-K28+IF(I$5="F",I28,0)*Assumptions!$F$195)</f>
        <v>6</v>
      </c>
      <c r="L13" s="68" t="n">
        <f aca="false">IF(L$5="A",Inputs_Actuals!L131,K13+0*Assumptions!$F$194-L28+IF(J$5="F",J28,0)*Assumptions!$F$195)</f>
        <v>6</v>
      </c>
      <c r="M13" s="68" t="n">
        <f aca="false">IF(M$5="A",Inputs_Actuals!M131,L13+0*Assumptions!$F$194-M28+IF(K$5="F",K28,0)*Assumptions!$F$195)</f>
        <v>5.95</v>
      </c>
      <c r="N13" s="68" t="n">
        <f aca="false">IF(N$5="A",Inputs_Actuals!N131,M13+0*Assumptions!$F$194-N28+IF(L$5="F",L28,0)*Assumptions!$F$195)</f>
        <v>5.90041666666667</v>
      </c>
      <c r="O13" s="68" t="n">
        <f aca="false">IF(O$5="A",Inputs_Actuals!O131,N13+0*Assumptions!$F$194-O28+IF(M$5="F",M28,0)*Assumptions!$F$195)</f>
        <v>5.90124652777778</v>
      </c>
      <c r="P13" s="68" t="n">
        <f aca="false">IF(P$5="A",Inputs_Actuals!P131,O13+0*Assumptions!$F$194-P28+IF(N$5="F",N28,0)*Assumptions!$F$195)</f>
        <v>5.90165280671296</v>
      </c>
      <c r="Q13" s="68" t="n">
        <f aca="false">IF(Q$5="A",Inputs_Actuals!Q131,P13+0*Assumptions!$F$194-Q28+IF(O$5="F",O28,0)*Assumptions!$F$195)</f>
        <v>5.90164250554591</v>
      </c>
      <c r="R13" s="68" t="n">
        <f aca="false">IF(R$5="A",Inputs_Actuals!R131,Q13+0*Assumptions!$F$194-R28+IF(P$5="F",P28,0)*Assumptions!$F$195)</f>
        <v>5.90163920573118</v>
      </c>
      <c r="S13" s="68" t="n">
        <f aca="false">IF(S$5="A",Inputs_Actuals!S131,R13+0*Assumptions!$F$194-S28+IF(Q$5="F",Q28,0)*Assumptions!$F$195)</f>
        <v>5.90163931907269</v>
      </c>
      <c r="T13" s="68" t="n">
        <f aca="false">IF(T$5="A",Inputs_Actuals!T131,S13+0*Assumptions!$F$194-T28+IF(R$5="F",R28,0)*Assumptions!$F$195)</f>
        <v>5.90163934562663</v>
      </c>
      <c r="U13" s="68" t="n">
        <f aca="false">IF(U$5="A",Inputs_Actuals!U131,T13+0*Assumptions!$F$194-U28+IF(S$5="F",S28,0)*Assumptions!$F$195)</f>
        <v>5.90163934446084</v>
      </c>
      <c r="V13" s="68" t="n">
        <f aca="false">IF(V$5="A",Inputs_Actuals!V131,U13+0*Assumptions!$F$194-V28+IF(T$5="F",T28,0)*Assumptions!$F$195)</f>
        <v>5.90163934424927</v>
      </c>
      <c r="W13" s="68" t="n">
        <f aca="false">IF(W$5="A",Inputs_Actuals!W131,V13+0*Assumptions!$F$194-W28+IF(U$5="F",U28,0)*Assumptions!$F$195)</f>
        <v>5.90163934426075</v>
      </c>
      <c r="X13" s="68" t="n">
        <f aca="false">IF(X$5="A",Inputs_Actuals!X131,W13+0*Assumptions!$F$194-X28+IF(V$5="F",V28,0)*Assumptions!$F$195)</f>
        <v>5.90163934426242</v>
      </c>
      <c r="Y13" s="68" t="n">
        <f aca="false">IF(Y$5="A",Inputs_Actuals!Y131,X13+0*Assumptions!$F$194-Y28+IF(W$5="F",W28,0)*Assumptions!$F$195)</f>
        <v>5.90163934426231</v>
      </c>
      <c r="Z13" s="68" t="n">
        <f aca="false">IF(Z$5="A",Inputs_Actuals!Z131,Y13+0*Assumptions!$F$194-Z28+IF(X$5="F",X28,0)*Assumptions!$F$195)</f>
        <v>5.90163934426229</v>
      </c>
      <c r="AA13" s="68" t="n">
        <f aca="false">IF(AA$5="A",Inputs_Actuals!AA131,Z13+0*Assumptions!$F$194-AA28+IF(Y$5="F",Y28,0)*Assumptions!$F$195)</f>
        <v>5.90163934426229</v>
      </c>
      <c r="AB13" s="68" t="n">
        <f aca="false">IF(AB$5="A",Inputs_Actuals!AB131,AA13+0*Assumptions!$F$194-AB28+IF(Z$5="F",Z28,0)*Assumptions!$F$195)</f>
        <v>5.90163934426229</v>
      </c>
    </row>
    <row r="14" customFormat="false" ht="15" hidden="false" customHeight="false" outlineLevel="0" collapsed="false">
      <c r="A14" s="28" t="s">
        <v>1108</v>
      </c>
      <c r="B14" s="62" t="s">
        <v>1103</v>
      </c>
      <c r="C14" s="67" t="n">
        <f aca="false">P14</f>
        <v>7.80447673339844</v>
      </c>
      <c r="D14" s="67" t="n">
        <f aca="false">AB14</f>
        <v>8.78048780655445</v>
      </c>
      <c r="E14" s="68" t="n">
        <f aca="false">IF(E$5="A",Inputs_Actuals!E132,Assumptions!$F$93+0*Assumptions!$F$194-E29)</f>
        <v>6</v>
      </c>
      <c r="F14" s="68" t="n">
        <f aca="false">IF(F$5="A",Inputs_Actuals!F132,E14+0*Assumptions!$F$194-F29)</f>
        <v>6</v>
      </c>
      <c r="G14" s="68" t="n">
        <f aca="false">IF(G$5="A",Inputs_Actuals!G132,F14+0*Assumptions!$F$194-G29+IF(E$5="F",E29,0)*Assumptions!$F$195)</f>
        <v>7</v>
      </c>
      <c r="H14" s="68" t="n">
        <f aca="false">IF(H$5="A",Inputs_Actuals!H132,G14+0*Assumptions!$F$194-H29+IF(F$5="F",F29,0)*Assumptions!$F$195)</f>
        <v>7</v>
      </c>
      <c r="I14" s="68" t="n">
        <f aca="false">IF(I$5="A",Inputs_Actuals!I132,H14+0*Assumptions!$F$194-I29+IF(G$5="F",G29,0)*Assumptions!$F$195)</f>
        <v>7</v>
      </c>
      <c r="J14" s="68" t="n">
        <f aca="false">IF(J$5="A",Inputs_Actuals!J132,I14+0*Assumptions!$F$194-J29+IF(H$5="F",H29,0)*Assumptions!$F$195)</f>
        <v>7</v>
      </c>
      <c r="K14" s="68" t="n">
        <f aca="false">IF(K$5="A",Inputs_Actuals!K132,J14+0*Assumptions!$F$194-K29+IF(I$5="F",I29,0)*Assumptions!$F$195)</f>
        <v>7</v>
      </c>
      <c r="L14" s="68" t="n">
        <f aca="false">IF(L$5="A",Inputs_Actuals!L132,K14+0*Assumptions!$F$194-L29+IF(J$5="F",J29,0)*Assumptions!$F$195)</f>
        <v>7</v>
      </c>
      <c r="M14" s="68" t="n">
        <f aca="false">IF(M$5="A",Inputs_Actuals!M132,L14+0*Assumptions!$F$194-M29+IF(K$5="F",K29,0)*Assumptions!$F$195)</f>
        <v>6.9125</v>
      </c>
      <c r="N14" s="68" t="n">
        <f aca="false">IF(N$5="A",Inputs_Actuals!N132,M14+1*Assumptions!$F$194-N29+IF(L$5="F",L29,0)*Assumptions!$F$195)</f>
        <v>7.82609375</v>
      </c>
      <c r="O14" s="68" t="n">
        <f aca="false">IF(O$5="A",Inputs_Actuals!O132,N14+0*Assumptions!$F$194-O29+IF(M$5="F",M29,0)*Assumptions!$F$195)</f>
        <v>7.815767578125</v>
      </c>
      <c r="P14" s="68" t="n">
        <f aca="false">IF(P$5="A",Inputs_Actuals!P132,O14+0*Assumptions!$F$194-P29+IF(N$5="F",N29,0)*Assumptions!$F$195)</f>
        <v>7.80447673339844</v>
      </c>
      <c r="Q14" s="68" t="n">
        <f aca="false">IF(Q$5="A",Inputs_Actuals!Q132,P14+0*Assumptions!$F$194-Q29+IF(O$5="F",O29,0)*Assumptions!$F$195)</f>
        <v>7.80474694610596</v>
      </c>
      <c r="R14" s="68" t="n">
        <f aca="false">IF(R$5="A",Inputs_Actuals!R132,Q14+0*Assumptions!$F$194-R29+IF(P$5="F",P29,0)*Assumptions!$F$195)</f>
        <v>7.8048847040062</v>
      </c>
      <c r="S14" s="68" t="n">
        <f aca="false">IF(S$5="A",Inputs_Actuals!S132,R14+0*Assumptions!$F$194-S29+IF(Q$5="F",Q29,0)*Assumptions!$F$195)</f>
        <v>7.8048796043736</v>
      </c>
      <c r="T14" s="68" t="n">
        <f aca="false">IF(T$5="A",Inputs_Actuals!T132,S14+1*Assumptions!$F$194-T29+IF(R$5="F",R29,0)*Assumptions!$F$195)</f>
        <v>8.80487794614525</v>
      </c>
      <c r="U14" s="68" t="n">
        <f aca="false">IF(U$5="A",Inputs_Actuals!U132,T14+0*Assumptions!$F$194-U29+IF(S$5="F",S29,0)*Assumptions!$F$195)</f>
        <v>8.79237803061851</v>
      </c>
      <c r="V14" s="68" t="n">
        <f aca="false">IF(V$5="A",Inputs_Actuals!V132,U14+0*Assumptions!$F$194-V29+IF(T$5="F",T29,0)*Assumptions!$F$195)</f>
        <v>8.78003430029045</v>
      </c>
      <c r="W14" s="68" t="n">
        <f aca="false">IF(W$5="A",Inputs_Actuals!W132,V14+0*Assumptions!$F$194-W29+IF(U$5="F",U29,0)*Assumptions!$F$195)</f>
        <v>8.78034484586364</v>
      </c>
      <c r="X14" s="68" t="n">
        <f aca="false">IF(X$5="A",Inputs_Actuals!X132,W14+0*Assumptions!$F$194-X29+IF(V$5="F",V29,0)*Assumptions!$F$195)</f>
        <v>8.78049526067307</v>
      </c>
      <c r="Y14" s="68" t="n">
        <f aca="false">IF(Y$5="A",Inputs_Actuals!Y132,X14+0*Assumptions!$F$194-Y29+IF(W$5="F",W29,0)*Assumptions!$F$195)</f>
        <v>8.78048949866829</v>
      </c>
      <c r="Z14" s="68" t="n">
        <f aca="false">IF(Z$5="A",Inputs_Actuals!Z132,Y14+0*Assumptions!$F$194-Z29+IF(X$5="F",X29,0)*Assumptions!$F$195)</f>
        <v>8.78048769050823</v>
      </c>
      <c r="AA14" s="68" t="n">
        <f aca="false">IF(AA$5="A",Inputs_Actuals!AA132,Z14+0*Assumptions!$F$194-AA29+IF(Y$5="F",Y29,0)*Assumptions!$F$195)</f>
        <v>8.78048778513529</v>
      </c>
      <c r="AB14" s="68" t="n">
        <f aca="false">IF(AB$5="A",Inputs_Actuals!AB132,AA14+0*Assumptions!$F$194-AB29+IF(Z$5="F",Z29,0)*Assumptions!$F$195)</f>
        <v>8.78048780655445</v>
      </c>
    </row>
    <row r="15" customFormat="false" ht="15" hidden="false" customHeight="false" outlineLevel="0" collapsed="false">
      <c r="A15" s="28" t="s">
        <v>1109</v>
      </c>
      <c r="B15" s="62" t="s">
        <v>1103</v>
      </c>
      <c r="C15" s="67" t="n">
        <f aca="false">P15</f>
        <v>4.87808605957031</v>
      </c>
      <c r="D15" s="67" t="n">
        <f aca="false">AB15</f>
        <v>5.85365853658284</v>
      </c>
      <c r="E15" s="68" t="n">
        <f aca="false">IF(E$5="A",Inputs_Actuals!E133,Assumptions!$F$94+0*Assumptions!$F$194-E30)</f>
        <v>4</v>
      </c>
      <c r="F15" s="68" t="n">
        <f aca="false">IF(F$5="A",Inputs_Actuals!F133,E15+0*Assumptions!$F$194-F30)</f>
        <v>4</v>
      </c>
      <c r="G15" s="68" t="n">
        <f aca="false">IF(G$5="A",Inputs_Actuals!G133,F15+0*Assumptions!$F$194-G30+IF(E$5="F",E30,0)*Assumptions!$F$195)</f>
        <v>4</v>
      </c>
      <c r="H15" s="68" t="n">
        <f aca="false">IF(H$5="A",Inputs_Actuals!H133,G15+0*Assumptions!$F$194-H30+IF(F$5="F",F30,0)*Assumptions!$F$195)</f>
        <v>4</v>
      </c>
      <c r="I15" s="68" t="n">
        <f aca="false">IF(I$5="A",Inputs_Actuals!I133,H15+0*Assumptions!$F$194-I30+IF(G$5="F",G30,0)*Assumptions!$F$195)</f>
        <v>5</v>
      </c>
      <c r="J15" s="68" t="n">
        <f aca="false">IF(J$5="A",Inputs_Actuals!J133,I15+0*Assumptions!$F$194-J30+IF(H$5="F",H30,0)*Assumptions!$F$195)</f>
        <v>5</v>
      </c>
      <c r="K15" s="68" t="n">
        <f aca="false">IF(K$5="A",Inputs_Actuals!K133,J15+0*Assumptions!$F$194-K30+IF(I$5="F",I30,0)*Assumptions!$F$195)</f>
        <v>5</v>
      </c>
      <c r="L15" s="68" t="n">
        <f aca="false">IF(L$5="A",Inputs_Actuals!L133,K15+0*Assumptions!$F$194-L30+IF(J$5="F",J30,0)*Assumptions!$F$195)</f>
        <v>5</v>
      </c>
      <c r="M15" s="68" t="n">
        <f aca="false">IF(M$5="A",Inputs_Actuals!M133,L15+0*Assumptions!$F$194-M30+IF(K$5="F",K30,0)*Assumptions!$F$195)</f>
        <v>4.9375</v>
      </c>
      <c r="N15" s="68" t="n">
        <f aca="false">IF(N$5="A",Inputs_Actuals!N133,M15+0*Assumptions!$F$194-N30+IF(L$5="F",L30,0)*Assumptions!$F$195)</f>
        <v>4.87578125</v>
      </c>
      <c r="O15" s="68" t="n">
        <f aca="false">IF(O$5="A",Inputs_Actuals!O133,N15+0*Assumptions!$F$194-O30+IF(M$5="F",M30,0)*Assumptions!$F$195)</f>
        <v>4.877333984375</v>
      </c>
      <c r="P15" s="68" t="n">
        <f aca="false">IF(P$5="A",Inputs_Actuals!P133,O15+0*Assumptions!$F$194-P30+IF(N$5="F",N30,0)*Assumptions!$F$195)</f>
        <v>4.87808605957031</v>
      </c>
      <c r="Q15" s="68" t="n">
        <f aca="false">IF(Q$5="A",Inputs_Actuals!Q133,P15+1*Assumptions!$F$194-Q30+IF(O$5="F",O30,0)*Assumptions!$F$195)</f>
        <v>5.87805724945068</v>
      </c>
      <c r="R15" s="68" t="n">
        <f aca="false">IF(R$5="A",Inputs_Actuals!R133,Q15+0*Assumptions!$F$194-R30+IF(P$5="F",P30,0)*Assumptions!$F$195)</f>
        <v>5.86554820863724</v>
      </c>
      <c r="S15" s="68" t="n">
        <f aca="false">IF(S$5="A",Inputs_Actuals!S133,R15+0*Assumptions!$F$194-S30+IF(Q$5="F",Q30,0)*Assumptions!$F$195)</f>
        <v>5.8532049317739</v>
      </c>
      <c r="T15" s="68" t="n">
        <f aca="false">IF(T$5="A",Inputs_Actuals!T133,S15+0*Assumptions!$F$194-T30+IF(R$5="F",R30,0)*Assumptions!$F$195)</f>
        <v>5.85351558574486</v>
      </c>
      <c r="U15" s="68" t="n">
        <f aca="false">IF(U$5="A",Inputs_Actuals!U133,T15+0*Assumptions!$F$194-U30+IF(S$5="F",S30,0)*Assumptions!$F$195)</f>
        <v>5.85366599353102</v>
      </c>
      <c r="V15" s="68" t="n">
        <f aca="false">IF(V$5="A",Inputs_Actuals!V133,U15+0*Assumptions!$F$194-V30+IF(T$5="F",T30,0)*Assumptions!$F$195)</f>
        <v>5.85366023025905</v>
      </c>
      <c r="W15" s="68" t="n">
        <f aca="false">IF(W$5="A",Inputs_Actuals!W133,V15+0*Assumptions!$F$194-W30+IF(U$5="F",U30,0)*Assumptions!$F$195)</f>
        <v>5.85365842220262</v>
      </c>
      <c r="X15" s="68" t="n">
        <f aca="false">IF(X$5="A",Inputs_Actuals!X133,W15+0*Assumptions!$F$194-X30+IF(V$5="F",V30,0)*Assumptions!$F$195)</f>
        <v>5.85365851684423</v>
      </c>
      <c r="Y15" s="68" t="n">
        <f aca="false">IF(Y$5="A",Inputs_Actuals!Y133,X15+0*Assumptions!$F$194-Y30+IF(W$5="F",W30,0)*Assumptions!$F$195)</f>
        <v>5.85365853826191</v>
      </c>
      <c r="Z15" s="68" t="n">
        <f aca="false">IF(Z$5="A",Inputs_Actuals!Z133,Y15+0*Assumptions!$F$194-Z30+IF(X$5="F",X30,0)*Assumptions!$F$195)</f>
        <v>5.85365853681117</v>
      </c>
      <c r="AA15" s="68" t="n">
        <f aca="false">IF(AA$5="A",Inputs_Actuals!AA133,Z15+0*Assumptions!$F$194-AA30+IF(Y$5="F",Y30,0)*Assumptions!$F$195)</f>
        <v>5.85365853656159</v>
      </c>
      <c r="AB15" s="68" t="n">
        <f aca="false">IF(AB$5="A",Inputs_Actuals!AB133,AA15+0*Assumptions!$F$194-AB30+IF(Z$5="F",Z30,0)*Assumptions!$F$195)</f>
        <v>5.85365853658284</v>
      </c>
    </row>
    <row r="16" customFormat="false" ht="15" hidden="false" customHeight="false" outlineLevel="0" collapsed="false">
      <c r="A16" s="28" t="s">
        <v>1110</v>
      </c>
      <c r="B16" s="62" t="s">
        <v>1103</v>
      </c>
      <c r="C16" s="67" t="n">
        <f aca="false">P16</f>
        <v>0.967759336419753</v>
      </c>
      <c r="D16" s="67" t="n">
        <f aca="false">AB16</f>
        <v>0.967741935483872</v>
      </c>
      <c r="E16" s="68" t="n">
        <f aca="false">IF(E$5="A",Inputs_Actuals!E134,Assumptions!$F$95+0*Assumptions!$F$194-E31)</f>
        <v>1</v>
      </c>
      <c r="F16" s="68" t="n">
        <f aca="false">IF(F$5="A",Inputs_Actuals!F134,E16+0*Assumptions!$F$194-F31)</f>
        <v>1</v>
      </c>
      <c r="G16" s="68" t="n">
        <f aca="false">IF(G$5="A",Inputs_Actuals!G134,F16+0*Assumptions!$F$194-G31+IF(E$5="F",E31,0)*Assumptions!$F$195)</f>
        <v>1</v>
      </c>
      <c r="H16" s="68" t="n">
        <f aca="false">IF(H$5="A",Inputs_Actuals!H134,G16+0*Assumptions!$F$194-H31+IF(F$5="F",F31,0)*Assumptions!$F$195)</f>
        <v>1</v>
      </c>
      <c r="I16" s="68" t="n">
        <f aca="false">IF(I$5="A",Inputs_Actuals!I134,H16+0*Assumptions!$F$194-I31+IF(G$5="F",G31,0)*Assumptions!$F$195)</f>
        <v>1</v>
      </c>
      <c r="J16" s="68" t="n">
        <f aca="false">IF(J$5="A",Inputs_Actuals!J134,I16+0*Assumptions!$F$194-J31+IF(H$5="F",H31,0)*Assumptions!$F$195)</f>
        <v>1</v>
      </c>
      <c r="K16" s="68" t="n">
        <f aca="false">IF(K$5="A",Inputs_Actuals!K134,J16+0*Assumptions!$F$194-K31+IF(I$5="F",I31,0)*Assumptions!$F$195)</f>
        <v>1</v>
      </c>
      <c r="L16" s="68" t="n">
        <f aca="false">IF(L$5="A",Inputs_Actuals!L134,K16+0*Assumptions!$F$194-L31+IF(J$5="F",J31,0)*Assumptions!$F$195)</f>
        <v>1</v>
      </c>
      <c r="M16" s="68" t="n">
        <f aca="false">IF(M$5="A",Inputs_Actuals!M134,L16+0*Assumptions!$F$194-M31+IF(K$5="F",K31,0)*Assumptions!$F$195)</f>
        <v>0.983333333333333</v>
      </c>
      <c r="N16" s="68" t="n">
        <f aca="false">IF(N$5="A",Inputs_Actuals!N134,M16+0*Assumptions!$F$194-N31+IF(L$5="F",L31,0)*Assumptions!$F$195)</f>
        <v>0.966944444444444</v>
      </c>
      <c r="O16" s="68" t="n">
        <f aca="false">IF(O$5="A",Inputs_Actuals!O134,N16+0*Assumptions!$F$194-O31+IF(M$5="F",M31,0)*Assumptions!$F$195)</f>
        <v>0.96749537037037</v>
      </c>
      <c r="P16" s="68" t="n">
        <f aca="false">IF(P$5="A",Inputs_Actuals!P134,O16+0*Assumptions!$F$194-P31+IF(N$5="F",N31,0)*Assumptions!$F$195)</f>
        <v>0.967759336419753</v>
      </c>
      <c r="Q16" s="68" t="n">
        <f aca="false">IF(Q$5="A",Inputs_Actuals!Q134,P16+0*Assumptions!$F$194-Q31+IF(O$5="F",O31,0)*Assumptions!$F$195)</f>
        <v>0.967745754886831</v>
      </c>
      <c r="R16" s="68" t="n">
        <f aca="false">IF(R$5="A",Inputs_Actuals!R134,Q16+0*Assumptions!$F$194-R31+IF(P$5="F",P31,0)*Assumptions!$F$195)</f>
        <v>0.967741581811557</v>
      </c>
      <c r="S16" s="68" t="n">
        <f aca="false">IF(S$5="A",Inputs_Actuals!S134,R16+0*Assumptions!$F$194-S31+IF(Q$5="F",Q31,0)*Assumptions!$F$195)</f>
        <v>0.967741877721694</v>
      </c>
      <c r="T16" s="68" t="n">
        <f aca="false">IF(T$5="A",Inputs_Actuals!T134,S16+0*Assumptions!$F$194-T31+IF(R$5="F",R31,0)*Assumptions!$F$195)</f>
        <v>0.967741942341112</v>
      </c>
      <c r="U16" s="68" t="n">
        <f aca="false">IF(U$5="A",Inputs_Actuals!U134,T16+0*Assumptions!$F$194-U31+IF(S$5="F",S31,0)*Assumptions!$F$195)</f>
        <v>0.967741936332287</v>
      </c>
      <c r="V16" s="68" t="n">
        <f aca="false">IF(V$5="A",Inputs_Actuals!V134,U16+0*Assumptions!$F$194-V31+IF(T$5="F",T31,0)*Assumptions!$F$195)</f>
        <v>0.967741935355443</v>
      </c>
      <c r="W16" s="68" t="n">
        <f aca="false">IF(W$5="A",Inputs_Actuals!W134,V16+0*Assumptions!$F$194-W31+IF(U$5="F",U31,0)*Assumptions!$F$195)</f>
        <v>0.967741935471871</v>
      </c>
      <c r="X16" s="68" t="n">
        <f aca="false">IF(X$5="A",Inputs_Actuals!X134,W16+0*Assumptions!$F$194-X31+IF(V$5="F",V31,0)*Assumptions!$F$195)</f>
        <v>0.967741935486211</v>
      </c>
      <c r="Y16" s="68" t="n">
        <f aca="false">IF(Y$5="A",Inputs_Actuals!Y134,X16+0*Assumptions!$F$194-Y31+IF(W$5="F",W31,0)*Assumptions!$F$195)</f>
        <v>0.967741935484032</v>
      </c>
      <c r="Z16" s="68" t="n">
        <f aca="false">IF(Z$5="A",Inputs_Actuals!Z134,Y16+0*Assumptions!$F$194-Z31+IF(X$5="F",X31,0)*Assumptions!$F$195)</f>
        <v>0.967741935483829</v>
      </c>
      <c r="AA16" s="68" t="n">
        <f aca="false">IF(AA$5="A",Inputs_Actuals!AA134,Z16+0*Assumptions!$F$194-AA31+IF(Y$5="F",Y31,0)*Assumptions!$F$195)</f>
        <v>0.967741935483869</v>
      </c>
      <c r="AB16" s="68" t="n">
        <f aca="false">IF(AB$5="A",Inputs_Actuals!AB134,AA16+0*Assumptions!$F$194-AB31+IF(Z$5="F",Z31,0)*Assumptions!$F$195)</f>
        <v>0.967741935483872</v>
      </c>
    </row>
    <row r="17" customFormat="false" ht="15" hidden="false" customHeight="false" outlineLevel="0" collapsed="false">
      <c r="A17" s="28" t="s">
        <v>1111</v>
      </c>
      <c r="B17" s="62" t="s">
        <v>1103</v>
      </c>
      <c r="C17" s="67" t="n">
        <f aca="false">P17</f>
        <v>6.78988935185185</v>
      </c>
      <c r="D17" s="67" t="n">
        <f aca="false">AB17</f>
        <v>7.74193548385913</v>
      </c>
      <c r="E17" s="68" t="n">
        <f aca="false">IF(E$5="A",Inputs_Actuals!E135,Assumptions!$F$96+0*Assumptions!$F$194-E32)</f>
        <v>5</v>
      </c>
      <c r="F17" s="68" t="n">
        <f aca="false">IF(F$5="A",Inputs_Actuals!F135,E17+0*Assumptions!$F$194-F32)</f>
        <v>6</v>
      </c>
      <c r="G17" s="68" t="n">
        <f aca="false">IF(G$5="A",Inputs_Actuals!G135,F17+0*Assumptions!$F$194-G32+IF(E$5="F",E32,0)*Assumptions!$F$195)</f>
        <v>6</v>
      </c>
      <c r="H17" s="68" t="n">
        <f aca="false">IF(H$5="A",Inputs_Actuals!H135,G17+0*Assumptions!$F$194-H32+IF(F$5="F",F32,0)*Assumptions!$F$195)</f>
        <v>6</v>
      </c>
      <c r="I17" s="68" t="n">
        <f aca="false">IF(I$5="A",Inputs_Actuals!I135,H17+0*Assumptions!$F$194-I32+IF(G$5="F",G32,0)*Assumptions!$F$195)</f>
        <v>6</v>
      </c>
      <c r="J17" s="68" t="n">
        <f aca="false">IF(J$5="A",Inputs_Actuals!J135,I17+0*Assumptions!$F$194-J32+IF(H$5="F",H32,0)*Assumptions!$F$195)</f>
        <v>6</v>
      </c>
      <c r="K17" s="68" t="n">
        <f aca="false">IF(K$5="A",Inputs_Actuals!K135,J17+0*Assumptions!$F$194-K32+IF(I$5="F",I32,0)*Assumptions!$F$195)</f>
        <v>6</v>
      </c>
      <c r="L17" s="68" t="n">
        <f aca="false">IF(L$5="A",Inputs_Actuals!L135,K17+0*Assumptions!$F$194-L32+IF(J$5="F",J32,0)*Assumptions!$F$195)</f>
        <v>6</v>
      </c>
      <c r="M17" s="68" t="n">
        <f aca="false">IF(M$5="A",Inputs_Actuals!M135,L17+0*Assumptions!$F$194-M32+IF(K$5="F",K32,0)*Assumptions!$F$195)</f>
        <v>5.9</v>
      </c>
      <c r="N17" s="68" t="n">
        <f aca="false">IF(N$5="A",Inputs_Actuals!N135,M17+0*Assumptions!$F$194-N32+IF(L$5="F",L32,0)*Assumptions!$F$195)</f>
        <v>5.80166666666667</v>
      </c>
      <c r="O17" s="68" t="n">
        <f aca="false">IF(O$5="A",Inputs_Actuals!O135,N17+1*Assumptions!$F$194-O32+IF(M$5="F",M32,0)*Assumptions!$F$195)</f>
        <v>6.80497222222222</v>
      </c>
      <c r="P17" s="68" t="n">
        <f aca="false">IF(P$5="A",Inputs_Actuals!P135,O17+0*Assumptions!$F$194-P32+IF(N$5="F",N32,0)*Assumptions!$F$195)</f>
        <v>6.78988935185185</v>
      </c>
      <c r="Q17" s="68" t="n">
        <f aca="false">IF(Q$5="A",Inputs_Actuals!Q135,P17+1*Assumptions!$F$194-Q32+IF(O$5="F",O32,0)*Assumptions!$F$195)</f>
        <v>7.77341897376543</v>
      </c>
      <c r="R17" s="68" t="n">
        <f aca="false">IF(R$5="A",Inputs_Actuals!R135,Q17+0*Assumptions!$F$194-R32+IF(P$5="F",P32,0)*Assumptions!$F$195)</f>
        <v>7.75727819457305</v>
      </c>
      <c r="S17" s="68" t="n">
        <f aca="false">IF(S$5="A",Inputs_Actuals!S135,R17+0*Assumptions!$F$194-S32+IF(Q$5="F",Q32,0)*Assumptions!$F$195)</f>
        <v>7.74115504719436</v>
      </c>
      <c r="T17" s="68" t="n">
        <f aca="false">IF(T$5="A",Inputs_Actuals!T135,S17+0*Assumptions!$F$194-T32+IF(R$5="F",R32,0)*Assumptions!$F$195)</f>
        <v>7.74169277930388</v>
      </c>
      <c r="U17" s="68" t="n">
        <f aca="false">IF(U$5="A",Inputs_Actuals!U135,T17+0*Assumptions!$F$194-U32+IF(S$5="F",S32,0)*Assumptions!$F$195)</f>
        <v>7.74195253622503</v>
      </c>
      <c r="V17" s="68" t="n">
        <f aca="false">IF(V$5="A",Inputs_Actuals!V135,U17+0*Assumptions!$F$194-V32+IF(T$5="F",T32,0)*Assumptions!$F$195)</f>
        <v>7.74193924474118</v>
      </c>
      <c r="W17" s="68" t="n">
        <f aca="false">IF(W$5="A",Inputs_Actuals!W135,V17+0*Assumptions!$F$194-W32+IF(U$5="F",U32,0)*Assumptions!$F$195)</f>
        <v>7.7419351369839</v>
      </c>
      <c r="X17" s="68" t="n">
        <f aca="false">IF(X$5="A",Inputs_Actuals!X135,W17+0*Assumptions!$F$194-X32+IF(V$5="F",V32,0)*Assumptions!$F$195)</f>
        <v>7.74193542697125</v>
      </c>
      <c r="Y17" s="68" t="n">
        <f aca="false">IF(Y$5="A",Inputs_Actuals!Y135,X17+0*Assumptions!$F$194-Y32+IF(W$5="F",W32,0)*Assumptions!$F$195)</f>
        <v>7.74193549060075</v>
      </c>
      <c r="Z17" s="68" t="n">
        <f aca="false">IF(Z$5="A",Inputs_Actuals!Z135,Y17+0*Assumptions!$F$194-Z32+IF(X$5="F",X32,0)*Assumptions!$F$195)</f>
        <v>7.74193548470713</v>
      </c>
      <c r="AA17" s="68" t="n">
        <f aca="false">IF(AA$5="A",Inputs_Actuals!AA135,Z17+0*Assumptions!$F$194-AA32+IF(Y$5="F",Y32,0)*Assumptions!$F$195)</f>
        <v>7.74193548374487</v>
      </c>
      <c r="AB17" s="68" t="n">
        <f aca="false">IF(AB$5="A",Inputs_Actuals!AB135,AA17+0*Assumptions!$F$194-AB32+IF(Z$5="F",Z32,0)*Assumptions!$F$195)</f>
        <v>7.74193548385913</v>
      </c>
    </row>
    <row r="18" customFormat="false" ht="15" hidden="false" customHeight="false" outlineLevel="0" collapsed="false">
      <c r="A18" s="28" t="s">
        <v>1112</v>
      </c>
      <c r="B18" s="62" t="s">
        <v>1103</v>
      </c>
      <c r="C18" s="67" t="n">
        <f aca="false">P18</f>
        <v>2.90327800925926</v>
      </c>
      <c r="D18" s="67" t="n">
        <f aca="false">AB18</f>
        <v>3.87096774879273</v>
      </c>
      <c r="E18" s="68" t="n">
        <f aca="false">IF(E$5="A",Inputs_Actuals!E136,Assumptions!$F$97+0*Assumptions!$F$194-E33)</f>
        <v>4</v>
      </c>
      <c r="F18" s="68" t="n">
        <f aca="false">IF(F$5="A",Inputs_Actuals!F136,E18+0*Assumptions!$F$194-F33)</f>
        <v>4</v>
      </c>
      <c r="G18" s="68" t="n">
        <f aca="false">IF(G$5="A",Inputs_Actuals!G136,F18+0*Assumptions!$F$194-G33+IF(E$5="F",E33,0)*Assumptions!$F$195)</f>
        <v>4</v>
      </c>
      <c r="H18" s="68" t="n">
        <f aca="false">IF(H$5="A",Inputs_Actuals!H136,G18+0*Assumptions!$F$194-H33+IF(F$5="F",F33,0)*Assumptions!$F$195)</f>
        <v>4</v>
      </c>
      <c r="I18" s="68" t="n">
        <f aca="false">IF(I$5="A",Inputs_Actuals!I136,H18+0*Assumptions!$F$194-I33+IF(G$5="F",G33,0)*Assumptions!$F$195)</f>
        <v>4</v>
      </c>
      <c r="J18" s="68" t="n">
        <f aca="false">IF(J$5="A",Inputs_Actuals!J136,I18+0*Assumptions!$F$194-J33+IF(H$5="F",H33,0)*Assumptions!$F$195)</f>
        <v>4</v>
      </c>
      <c r="K18" s="68" t="n">
        <f aca="false">IF(K$5="A",Inputs_Actuals!K136,J18+0*Assumptions!$F$194-K33+IF(I$5="F",I33,0)*Assumptions!$F$195)</f>
        <v>3</v>
      </c>
      <c r="L18" s="68" t="n">
        <f aca="false">IF(L$5="A",Inputs_Actuals!L136,K18+0*Assumptions!$F$194-L33+IF(J$5="F",J33,0)*Assumptions!$F$195)</f>
        <v>3</v>
      </c>
      <c r="M18" s="68" t="n">
        <f aca="false">IF(M$5="A",Inputs_Actuals!M136,L18+0*Assumptions!$F$194-M33+IF(K$5="F",K33,0)*Assumptions!$F$195)</f>
        <v>2.95</v>
      </c>
      <c r="N18" s="68" t="n">
        <f aca="false">IF(N$5="A",Inputs_Actuals!N136,M18+0*Assumptions!$F$194-N33+IF(L$5="F",L33,0)*Assumptions!$F$195)</f>
        <v>2.90083333333333</v>
      </c>
      <c r="O18" s="68" t="n">
        <f aca="false">IF(O$5="A",Inputs_Actuals!O136,N18+0*Assumptions!$F$194-O33+IF(M$5="F",M33,0)*Assumptions!$F$195)</f>
        <v>2.90248611111111</v>
      </c>
      <c r="P18" s="68" t="n">
        <f aca="false">IF(P$5="A",Inputs_Actuals!P136,O18+0*Assumptions!$F$194-P33+IF(N$5="F",N33,0)*Assumptions!$F$195)</f>
        <v>2.90327800925926</v>
      </c>
      <c r="Q18" s="68" t="n">
        <f aca="false">IF(Q$5="A",Inputs_Actuals!Q136,P18+0*Assumptions!$F$194-Q33+IF(O$5="F",O33,0)*Assumptions!$F$195)</f>
        <v>2.90323726466049</v>
      </c>
      <c r="R18" s="68" t="n">
        <f aca="false">IF(R$5="A",Inputs_Actuals!R136,Q18+0*Assumptions!$F$194-R33+IF(P$5="F",P33,0)*Assumptions!$F$195)</f>
        <v>2.90322474543467</v>
      </c>
      <c r="S18" s="68" t="n">
        <f aca="false">IF(S$5="A",Inputs_Actuals!S136,R18+0*Assumptions!$F$194-S33+IF(Q$5="F",Q33,0)*Assumptions!$F$195)</f>
        <v>2.90322563316508</v>
      </c>
      <c r="T18" s="68" t="n">
        <f aca="false">IF(T$5="A",Inputs_Actuals!T136,S18+1*Assumptions!$F$194-T33+IF(R$5="F",R33,0)*Assumptions!$F$195)</f>
        <v>3.90322582702334</v>
      </c>
      <c r="U18" s="68" t="n">
        <f aca="false">IF(U$5="A",Inputs_Actuals!U136,T18+0*Assumptions!$F$194-U33+IF(S$5="F",S33,0)*Assumptions!$F$195)</f>
        <v>3.88655914233019</v>
      </c>
      <c r="V18" s="68" t="n">
        <f aca="false">IF(V$5="A",Inputs_Actuals!V136,U18+0*Assumptions!$F$194-V33+IF(T$5="F",T33,0)*Assumptions!$F$195)</f>
        <v>3.87017025051077</v>
      </c>
      <c r="W18" s="68" t="n">
        <f aca="false">IF(W$5="A",Inputs_Actuals!W136,V18+0*Assumptions!$F$194-W33+IF(U$5="F",U33,0)*Assumptions!$F$195)</f>
        <v>3.87072117678598</v>
      </c>
      <c r="X18" s="68" t="n">
        <f aca="false">IF(X$5="A",Inputs_Actuals!X136,W18+0*Assumptions!$F$194-X33+IF(V$5="F",V33,0)*Assumptions!$F$195)</f>
        <v>3.87098514287839</v>
      </c>
      <c r="Y18" s="68" t="n">
        <f aca="false">IF(Y$5="A",Inputs_Actuals!Y136,X18+0*Assumptions!$F$194-Y33+IF(W$5="F",W33,0)*Assumptions!$F$195)</f>
        <v>3.87097156133893</v>
      </c>
      <c r="Z18" s="68" t="n">
        <f aca="false">IF(Z$5="A",Inputs_Actuals!Z136,Y18+0*Assumptions!$F$194-Z33+IF(X$5="F",X33,0)*Assumptions!$F$195)</f>
        <v>3.87096738826304</v>
      </c>
      <c r="AA18" s="68" t="n">
        <f aca="false">IF(AA$5="A",Inputs_Actuals!AA136,Z18+0*Assumptions!$F$194-AA33+IF(Y$5="F",Y33,0)*Assumptions!$F$195)</f>
        <v>3.8709676841733</v>
      </c>
      <c r="AB18" s="68" t="n">
        <f aca="false">IF(AB$5="A",Inputs_Actuals!AB136,AA18+0*Assumptions!$F$194-AB33+IF(Z$5="F",Z33,0)*Assumptions!$F$195)</f>
        <v>3.87096774879273</v>
      </c>
    </row>
    <row r="19" customFormat="false" ht="15" hidden="false" customHeight="false" outlineLevel="0" collapsed="false">
      <c r="A19" s="28" t="s">
        <v>1113</v>
      </c>
      <c r="B19" s="62" t="s">
        <v>1103</v>
      </c>
      <c r="C19" s="67" t="n">
        <f aca="false">P19</f>
        <v>4.83879668209877</v>
      </c>
      <c r="D19" s="67" t="n">
        <f aca="false">AB19</f>
        <v>5.8064516127748</v>
      </c>
      <c r="E19" s="68" t="n">
        <f aca="false">IF(E$5="A",Inputs_Actuals!E137,Assumptions!$F$98+0*Assumptions!$F$194-E34)</f>
        <v>4</v>
      </c>
      <c r="F19" s="68" t="n">
        <f aca="false">IF(F$5="A",Inputs_Actuals!F137,E19+0*Assumptions!$F$194-F34)</f>
        <v>4</v>
      </c>
      <c r="G19" s="68" t="n">
        <f aca="false">IF(G$5="A",Inputs_Actuals!G137,F19+0*Assumptions!$F$194-G34+IF(E$5="F",E34,0)*Assumptions!$F$195)</f>
        <v>4</v>
      </c>
      <c r="H19" s="68" t="n">
        <f aca="false">IF(H$5="A",Inputs_Actuals!H137,G19+0*Assumptions!$F$194-H34+IF(F$5="F",F34,0)*Assumptions!$F$195)</f>
        <v>5</v>
      </c>
      <c r="I19" s="68" t="n">
        <f aca="false">IF(I$5="A",Inputs_Actuals!I137,H19+0*Assumptions!$F$194-I34+IF(G$5="F",G34,0)*Assumptions!$F$195)</f>
        <v>5</v>
      </c>
      <c r="J19" s="68" t="n">
        <f aca="false">IF(J$5="A",Inputs_Actuals!J137,I19+0*Assumptions!$F$194-J34+IF(H$5="F",H34,0)*Assumptions!$F$195)</f>
        <v>5</v>
      </c>
      <c r="K19" s="68" t="n">
        <f aca="false">IF(K$5="A",Inputs_Actuals!K137,J19+0*Assumptions!$F$194-K34+IF(I$5="F",I34,0)*Assumptions!$F$195)</f>
        <v>5</v>
      </c>
      <c r="L19" s="68" t="n">
        <f aca="false">IF(L$5="A",Inputs_Actuals!L137,K19+0*Assumptions!$F$194-L34+IF(J$5="F",J34,0)*Assumptions!$F$195)</f>
        <v>5</v>
      </c>
      <c r="M19" s="68" t="n">
        <f aca="false">IF(M$5="A",Inputs_Actuals!M137,L19+0*Assumptions!$F$194-M34+IF(K$5="F",K34,0)*Assumptions!$F$195)</f>
        <v>4.91666666666667</v>
      </c>
      <c r="N19" s="68" t="n">
        <f aca="false">IF(N$5="A",Inputs_Actuals!N137,M19+0*Assumptions!$F$194-N34+IF(L$5="F",L34,0)*Assumptions!$F$195)</f>
        <v>4.83472222222222</v>
      </c>
      <c r="O19" s="68" t="n">
        <f aca="false">IF(O$5="A",Inputs_Actuals!O137,N19+0*Assumptions!$F$194-O34+IF(M$5="F",M34,0)*Assumptions!$F$195)</f>
        <v>4.83747685185185</v>
      </c>
      <c r="P19" s="68" t="n">
        <f aca="false">IF(P$5="A",Inputs_Actuals!P137,O19+0*Assumptions!$F$194-P34+IF(N$5="F",N34,0)*Assumptions!$F$195)</f>
        <v>4.83879668209877</v>
      </c>
      <c r="Q19" s="68" t="n">
        <f aca="false">IF(Q$5="A",Inputs_Actuals!Q137,P19+0*Assumptions!$F$194-Q34+IF(O$5="F",O34,0)*Assumptions!$F$195)</f>
        <v>4.83872877443416</v>
      </c>
      <c r="R19" s="68" t="n">
        <f aca="false">IF(R$5="A",Inputs_Actuals!R137,Q19+1*Assumptions!$F$194-R34+IF(P$5="F",P34,0)*Assumptions!$F$195)</f>
        <v>5.83870790905779</v>
      </c>
      <c r="S19" s="68" t="n">
        <f aca="false">IF(S$5="A",Inputs_Actuals!S137,R19+0*Assumptions!$F$194-S34+IF(Q$5="F",Q34,0)*Assumptions!$F$195)</f>
        <v>5.8220427219418</v>
      </c>
      <c r="T19" s="68" t="n">
        <f aca="false">IF(T$5="A",Inputs_Actuals!T137,S19+0*Assumptions!$F$194-T34+IF(R$5="F",R34,0)*Assumptions!$F$195)</f>
        <v>5.80565415615001</v>
      </c>
      <c r="U19" s="68" t="n">
        <f aca="false">IF(U$5="A",Inputs_Actuals!U137,T19+0*Assumptions!$F$194-U34+IF(S$5="F",S34,0)*Assumptions!$F$195)</f>
        <v>5.8062050520318</v>
      </c>
      <c r="V19" s="68" t="n">
        <f aca="false">IF(V$5="A",Inputs_Actuals!V137,U19+0*Assumptions!$F$194-V34+IF(T$5="F",T34,0)*Assumptions!$F$195)</f>
        <v>5.80646901319697</v>
      </c>
      <c r="W19" s="68" t="n">
        <f aca="false">IF(W$5="A",Inputs_Actuals!W137,V19+0*Assumptions!$F$194-W34+IF(U$5="F",U34,0)*Assumptions!$F$195)</f>
        <v>5.80645543224619</v>
      </c>
      <c r="X19" s="68" t="n">
        <f aca="false">IF(X$5="A",Inputs_Actuals!X137,W19+0*Assumptions!$F$194-X34+IF(V$5="F",V34,0)*Assumptions!$F$195)</f>
        <v>5.80645125924262</v>
      </c>
      <c r="Y19" s="68" t="n">
        <f aca="false">IF(Y$5="A",Inputs_Actuals!Y137,X19+0*Assumptions!$F$194-Y34+IF(W$5="F",W34,0)*Assumptions!$F$195)</f>
        <v>5.80645155514185</v>
      </c>
      <c r="Z19" s="68" t="n">
        <f aca="false">IF(Z$5="A",Inputs_Actuals!Z137,Y19+0*Assumptions!$F$194-Z34+IF(X$5="F",X34,0)*Assumptions!$F$195)</f>
        <v>5.80645161976026</v>
      </c>
      <c r="AA19" s="68" t="n">
        <f aca="false">IF(AA$5="A",Inputs_Actuals!AA137,Z19+0*Assumptions!$F$194-AA34+IF(Y$5="F",Y34,0)*Assumptions!$F$195)</f>
        <v>5.80645161375163</v>
      </c>
      <c r="AB19" s="68" t="n">
        <f aca="false">IF(AB$5="A",Inputs_Actuals!AB137,AA19+0*Assumptions!$F$194-AB34+IF(Z$5="F",Z34,0)*Assumptions!$F$195)</f>
        <v>5.8064516127748</v>
      </c>
    </row>
    <row r="20" customFormat="false" ht="15" hidden="false" customHeight="false" outlineLevel="0" collapsed="false">
      <c r="A20" s="28" t="s">
        <v>1114</v>
      </c>
      <c r="B20" s="62" t="s">
        <v>1103</v>
      </c>
      <c r="C20" s="67" t="n">
        <f aca="false">P20</f>
        <v>1.97368652246914</v>
      </c>
      <c r="D20" s="67" t="n">
        <f aca="false">AB20</f>
        <v>1.97368421052632</v>
      </c>
      <c r="E20" s="68" t="n">
        <f aca="false">IF(E$5="A",Inputs_Actuals!E138,Assumptions!$F$99+0*Assumptions!$F$194-E35)</f>
        <v>2</v>
      </c>
      <c r="F20" s="68" t="n">
        <f aca="false">IF(F$5="A",Inputs_Actuals!F138,E20+0*Assumptions!$F$194-F35)</f>
        <v>2</v>
      </c>
      <c r="G20" s="68" t="n">
        <f aca="false">IF(G$5="A",Inputs_Actuals!G138,F20+0*Assumptions!$F$194-G35+IF(E$5="F",E35,0)*Assumptions!$F$195)</f>
        <v>2</v>
      </c>
      <c r="H20" s="68" t="n">
        <f aca="false">IF(H$5="A",Inputs_Actuals!H138,G20+0*Assumptions!$F$194-H35+IF(F$5="F",F35,0)*Assumptions!$F$195)</f>
        <v>2</v>
      </c>
      <c r="I20" s="68" t="n">
        <f aca="false">IF(I$5="A",Inputs_Actuals!I138,H20+0*Assumptions!$F$194-I35+IF(G$5="F",G35,0)*Assumptions!$F$195)</f>
        <v>2</v>
      </c>
      <c r="J20" s="68" t="n">
        <f aca="false">IF(J$5="A",Inputs_Actuals!J138,I20+0*Assumptions!$F$194-J35+IF(H$5="F",H35,0)*Assumptions!$F$195)</f>
        <v>2</v>
      </c>
      <c r="K20" s="68" t="n">
        <f aca="false">IF(K$5="A",Inputs_Actuals!K138,J20+0*Assumptions!$F$194-K35+IF(I$5="F",I35,0)*Assumptions!$F$195)</f>
        <v>2</v>
      </c>
      <c r="L20" s="68" t="n">
        <f aca="false">IF(L$5="A",Inputs_Actuals!L138,K20+0*Assumptions!$F$194-L35+IF(J$5="F",J35,0)*Assumptions!$F$195)</f>
        <v>2</v>
      </c>
      <c r="M20" s="68" t="n">
        <f aca="false">IF(M$5="A",Inputs_Actuals!M138,L20+0*Assumptions!$F$194-M35+IF(K$5="F",K35,0)*Assumptions!$F$195)</f>
        <v>1.98666666666667</v>
      </c>
      <c r="N20" s="68" t="n">
        <f aca="false">IF(N$5="A",Inputs_Actuals!N138,M20+0*Assumptions!$F$194-N35+IF(L$5="F",L35,0)*Assumptions!$F$195)</f>
        <v>1.97342222222222</v>
      </c>
      <c r="O20" s="68" t="n">
        <f aca="false">IF(O$5="A",Inputs_Actuals!O138,N20+0*Assumptions!$F$194-O35+IF(M$5="F",M35,0)*Assumptions!$F$195)</f>
        <v>1.97359940740741</v>
      </c>
      <c r="P20" s="68" t="n">
        <f aca="false">IF(P$5="A",Inputs_Actuals!P138,O20+0*Assumptions!$F$194-P35+IF(N$5="F",N35,0)*Assumptions!$F$195)</f>
        <v>1.97368652246914</v>
      </c>
      <c r="Q20" s="68" t="n">
        <f aca="false">IF(Q$5="A",Inputs_Actuals!Q138,P20+0*Assumptions!$F$194-Q35+IF(O$5="F",O35,0)*Assumptions!$F$195)</f>
        <v>1.97368476046749</v>
      </c>
      <c r="R20" s="68" t="n">
        <f aca="false">IF(R$5="A",Inputs_Actuals!R138,Q20+0*Assumptions!$F$194-R35+IF(P$5="F",P35,0)*Assumptions!$F$195)</f>
        <v>1.97368419144709</v>
      </c>
      <c r="S20" s="68" t="n">
        <f aca="false">IF(S$5="A",Inputs_Actuals!S138,R20+0*Assumptions!$F$194-S35+IF(Q$5="F",Q35,0)*Assumptions!$F$195)</f>
        <v>1.97368420698724</v>
      </c>
      <c r="T20" s="68" t="n">
        <f aca="false">IF(T$5="A",Inputs_Actuals!T138,S20+0*Assumptions!$F$194-T35+IF(R$5="F",R35,0)*Assumptions!$F$195)</f>
        <v>1.9736842106771</v>
      </c>
      <c r="U20" s="68" t="n">
        <f aca="false">IF(U$5="A",Inputs_Actuals!U138,T20+0*Assumptions!$F$194-U35+IF(S$5="F",S35,0)*Assumptions!$F$195)</f>
        <v>1.9736842105489</v>
      </c>
      <c r="V20" s="68" t="n">
        <f aca="false">IF(V$5="A",Inputs_Actuals!V138,U20+0*Assumptions!$F$194-V35+IF(T$5="F",T35,0)*Assumptions!$F$195)</f>
        <v>1.97368421052516</v>
      </c>
      <c r="W20" s="68" t="n">
        <f aca="false">IF(W$5="A",Inputs_Actuals!W138,V20+0*Assumptions!$F$194-W35+IF(U$5="F",U35,0)*Assumptions!$F$195)</f>
        <v>1.97368421052617</v>
      </c>
      <c r="X20" s="68" t="n">
        <f aca="false">IF(X$5="A",Inputs_Actuals!X138,W20+0*Assumptions!$F$194-X35+IF(V$5="F",V35,0)*Assumptions!$F$195)</f>
        <v>1.97368421052632</v>
      </c>
      <c r="Y20" s="68" t="n">
        <f aca="false">IF(Y$5="A",Inputs_Actuals!Y138,X20+0*Assumptions!$F$194-Y35+IF(W$5="F",W35,0)*Assumptions!$F$195)</f>
        <v>1.97368421052632</v>
      </c>
      <c r="Z20" s="68" t="n">
        <f aca="false">IF(Z$5="A",Inputs_Actuals!Z138,Y20+0*Assumptions!$F$194-Z35+IF(X$5="F",X35,0)*Assumptions!$F$195)</f>
        <v>1.97368421052632</v>
      </c>
      <c r="AA20" s="68" t="n">
        <f aca="false">IF(AA$5="A",Inputs_Actuals!AA138,Z20+0*Assumptions!$F$194-AA35+IF(Y$5="F",Y35,0)*Assumptions!$F$195)</f>
        <v>1.97368421052632</v>
      </c>
      <c r="AB20" s="68" t="n">
        <f aca="false">IF(AB$5="A",Inputs_Actuals!AB138,AA20+0*Assumptions!$F$194-AB35+IF(Z$5="F",Z35,0)*Assumptions!$F$195)</f>
        <v>1.97368421052632</v>
      </c>
    </row>
    <row r="21" customFormat="false" ht="15" hidden="false" customHeight="false" outlineLevel="0" collapsed="false">
      <c r="A21" s="28" t="s">
        <v>1115</v>
      </c>
      <c r="B21" s="62" t="s">
        <v>1103</v>
      </c>
      <c r="C21" s="67" t="n">
        <f aca="false">P21</f>
        <v>5.92105956740741</v>
      </c>
      <c r="D21" s="67" t="n">
        <f aca="false">AB21</f>
        <v>6.90789501181269</v>
      </c>
      <c r="E21" s="68" t="n">
        <f aca="false">IF(E$5="A",Inputs_Actuals!E139,Assumptions!$F$100+0*Assumptions!$F$194-E36)</f>
        <v>5</v>
      </c>
      <c r="F21" s="68" t="n">
        <f aca="false">IF(F$5="A",Inputs_Actuals!F139,E21+0*Assumptions!$F$194-F36)</f>
        <v>5</v>
      </c>
      <c r="G21" s="68" t="n">
        <f aca="false">IF(G$5="A",Inputs_Actuals!G139,F21+0*Assumptions!$F$194-G36+IF(E$5="F",E36,0)*Assumptions!$F$195)</f>
        <v>6</v>
      </c>
      <c r="H21" s="68" t="n">
        <f aca="false">IF(H$5="A",Inputs_Actuals!H139,G21+0*Assumptions!$F$194-H36+IF(F$5="F",F36,0)*Assumptions!$F$195)</f>
        <v>6</v>
      </c>
      <c r="I21" s="68" t="n">
        <f aca="false">IF(I$5="A",Inputs_Actuals!I139,H21+0*Assumptions!$F$194-I36+IF(G$5="F",G36,0)*Assumptions!$F$195)</f>
        <v>6</v>
      </c>
      <c r="J21" s="68" t="n">
        <f aca="false">IF(J$5="A",Inputs_Actuals!J139,I21+0*Assumptions!$F$194-J36+IF(H$5="F",H36,0)*Assumptions!$F$195)</f>
        <v>6</v>
      </c>
      <c r="K21" s="68" t="n">
        <f aca="false">IF(K$5="A",Inputs_Actuals!K139,J21+0*Assumptions!$F$194-K36+IF(I$5="F",I36,0)*Assumptions!$F$195)</f>
        <v>6</v>
      </c>
      <c r="L21" s="68" t="n">
        <f aca="false">IF(L$5="A",Inputs_Actuals!L139,K21+0*Assumptions!$F$194-L36+IF(J$5="F",J36,0)*Assumptions!$F$195)</f>
        <v>6</v>
      </c>
      <c r="M21" s="68" t="n">
        <f aca="false">IF(M$5="A",Inputs_Actuals!M139,L21+0*Assumptions!$F$194-M36+IF(K$5="F",K36,0)*Assumptions!$F$195)</f>
        <v>5.96</v>
      </c>
      <c r="N21" s="68" t="n">
        <f aca="false">IF(N$5="A",Inputs_Actuals!N139,M21+0*Assumptions!$F$194-N36+IF(L$5="F",L36,0)*Assumptions!$F$195)</f>
        <v>5.92026666666667</v>
      </c>
      <c r="O21" s="68" t="n">
        <f aca="false">IF(O$5="A",Inputs_Actuals!O139,N21+0*Assumptions!$F$194-O36+IF(M$5="F",M36,0)*Assumptions!$F$195)</f>
        <v>5.92079822222222</v>
      </c>
      <c r="P21" s="68" t="n">
        <f aca="false">IF(P$5="A",Inputs_Actuals!P139,O21+0*Assumptions!$F$194-P36+IF(N$5="F",N36,0)*Assumptions!$F$195)</f>
        <v>5.92105956740741</v>
      </c>
      <c r="Q21" s="68" t="n">
        <f aca="false">IF(Q$5="A",Inputs_Actuals!Q139,P21+0*Assumptions!$F$194-Q36+IF(O$5="F",O36,0)*Assumptions!$F$195)</f>
        <v>5.92105428140247</v>
      </c>
      <c r="R21" s="68" t="n">
        <f aca="false">IF(R$5="A",Inputs_Actuals!R139,Q21+0*Assumptions!$F$194-R36+IF(P$5="F",P36,0)*Assumptions!$F$195)</f>
        <v>5.92105257434127</v>
      </c>
      <c r="S21" s="68" t="n">
        <f aca="false">IF(S$5="A",Inputs_Actuals!S139,R21+0*Assumptions!$F$194-S36+IF(Q$5="F",Q36,0)*Assumptions!$F$195)</f>
        <v>5.92105262096171</v>
      </c>
      <c r="T21" s="68" t="n">
        <f aca="false">IF(T$5="A",Inputs_Actuals!T139,S21+0*Assumptions!$F$194-T36+IF(R$5="F",R36,0)*Assumptions!$F$195)</f>
        <v>5.92105263203131</v>
      </c>
      <c r="U21" s="68" t="n">
        <f aca="false">IF(U$5="A",Inputs_Actuals!U139,T21+0*Assumptions!$F$194-U36+IF(S$5="F",S36,0)*Assumptions!$F$195)</f>
        <v>5.92105263164671</v>
      </c>
      <c r="V21" s="68" t="n">
        <f aca="false">IF(V$5="A",Inputs_Actuals!V139,U21+0*Assumptions!$F$194-V36+IF(T$5="F",T36,0)*Assumptions!$F$195)</f>
        <v>5.92105263157548</v>
      </c>
      <c r="W21" s="68" t="n">
        <f aca="false">IF(W$5="A",Inputs_Actuals!W139,V21+1*Assumptions!$F$194-W36+IF(U$5="F",U36,0)*Assumptions!$F$195)</f>
        <v>6.92105263157852</v>
      </c>
      <c r="X21" s="68" t="n">
        <f aca="false">IF(X$5="A",Inputs_Actuals!X139,W21+0*Assumptions!$F$194-X36+IF(V$5="F",V36,0)*Assumptions!$F$195)</f>
        <v>6.91438596491231</v>
      </c>
      <c r="Y21" s="68" t="n">
        <f aca="false">IF(Y$5="A",Inputs_Actuals!Y139,X21+0*Assumptions!$F$194-Y36+IF(W$5="F",W36,0)*Assumptions!$F$195)</f>
        <v>6.90776374269006</v>
      </c>
      <c r="Z21" s="68" t="n">
        <f aca="false">IF(Z$5="A",Inputs_Actuals!Z139,Y21+0*Assumptions!$F$194-Z36+IF(X$5="F",X36,0)*Assumptions!$F$195)</f>
        <v>6.90785233528265</v>
      </c>
      <c r="AA21" s="68" t="n">
        <f aca="false">IF(AA$5="A",Inputs_Actuals!AA139,Z21+0*Assumptions!$F$194-AA36+IF(Y$5="F",Y36,0)*Assumptions!$F$195)</f>
        <v>6.90789589281352</v>
      </c>
      <c r="AB21" s="68" t="n">
        <f aca="false">IF(AB$5="A",Inputs_Actuals!AB139,AA21+0*Assumptions!$F$194-AB36+IF(Z$5="F",Z36,0)*Assumptions!$F$195)</f>
        <v>6.90789501181269</v>
      </c>
    </row>
    <row r="22" customFormat="false" ht="15" hidden="false" customHeight="false" outlineLevel="0" collapsed="false">
      <c r="A22" s="58" t="s">
        <v>1116</v>
      </c>
      <c r="B22" s="59"/>
      <c r="C22" s="74" t="n">
        <f aca="false">P22</f>
        <v>78.3720046872435</v>
      </c>
      <c r="D22" s="74" t="n">
        <f aca="false">AB22</f>
        <v>90.099478165392</v>
      </c>
      <c r="E22" s="74" t="n">
        <f aca="false">SUM(E9:E21)</f>
        <v>71</v>
      </c>
      <c r="F22" s="74" t="n">
        <f aca="false">SUM(F9:F21)</f>
        <v>73</v>
      </c>
      <c r="G22" s="74" t="n">
        <f aca="false">SUM(G9:G21)</f>
        <v>76</v>
      </c>
      <c r="H22" s="74" t="n">
        <f aca="false">SUM(H9:H21)</f>
        <v>78</v>
      </c>
      <c r="I22" s="74" t="n">
        <f aca="false">SUM(I9:I21)</f>
        <v>78</v>
      </c>
      <c r="J22" s="74" t="n">
        <f aca="false">SUM(J9:J21)</f>
        <v>79</v>
      </c>
      <c r="K22" s="74" t="n">
        <f aca="false">SUM(K9:K21)</f>
        <v>78</v>
      </c>
      <c r="L22" s="74" t="n">
        <f aca="false">SUM(L9:L21)</f>
        <v>77</v>
      </c>
      <c r="M22" s="74" t="n">
        <f aca="false">SUM(M9:M21)</f>
        <v>76.1966666666667</v>
      </c>
      <c r="N22" s="74" t="n">
        <f aca="false">SUM(N9:N21)</f>
        <v>77.4026472222222</v>
      </c>
      <c r="O22" s="74" t="n">
        <f aca="false">SUM(O9:O21)</f>
        <v>78.4003221087963</v>
      </c>
      <c r="P22" s="74" t="n">
        <f aca="false">SUM(P9:P21)</f>
        <v>78.3720046872435</v>
      </c>
      <c r="Q22" s="74" t="n">
        <f aca="false">SUM(Q9:Q21)</f>
        <v>83.3557126319579</v>
      </c>
      <c r="R22" s="74" t="n">
        <f aca="false">SUM(R9:R21)</f>
        <v>84.3022053505459</v>
      </c>
      <c r="S22" s="74" t="n">
        <f aca="false">SUM(S9:S21)</f>
        <v>85.2322772952192</v>
      </c>
      <c r="T22" s="74" t="n">
        <f aca="false">SUM(T9:T21)</f>
        <v>87.2088169636474</v>
      </c>
      <c r="U22" s="74" t="n">
        <f aca="false">SUM(U9:U21)</f>
        <v>87.1725506788034</v>
      </c>
      <c r="V22" s="74" t="n">
        <f aca="false">SUM(V9:V21)</f>
        <v>88.1441961245398</v>
      </c>
      <c r="W22" s="74" t="n">
        <f aca="false">SUM(W9:W21)</f>
        <v>89.1367708295454</v>
      </c>
      <c r="X22" s="74" t="n">
        <f aca="false">SUM(X9:X21)</f>
        <v>89.122249206318</v>
      </c>
      <c r="Y22" s="74" t="n">
        <f aca="false">SUM(Y9:Y21)</f>
        <v>90.1157457949899</v>
      </c>
      <c r="Z22" s="74" t="n">
        <f aca="false">SUM(Z9:Z21)</f>
        <v>90.1075628617505</v>
      </c>
      <c r="AA22" s="74" t="n">
        <f aca="false">SUM(AA9:AA21)</f>
        <v>90.099341201168</v>
      </c>
      <c r="AB22" s="74" t="n">
        <f aca="false">SUM(AB9:AB21)</f>
        <v>90.099478165392</v>
      </c>
    </row>
    <row r="23" customFormat="false" ht="15" hidden="false" customHeight="false" outlineLevel="0" collapsed="false">
      <c r="A23" s="22" t="s">
        <v>1117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1102</v>
      </c>
      <c r="B24" s="62" t="s">
        <v>1118</v>
      </c>
      <c r="C24" s="67" t="n">
        <f aca="false">SUM(E24:P24)</f>
        <v>0.263907368827161</v>
      </c>
      <c r="D24" s="67" t="n">
        <f aca="false">SUM(Q24:AB24)</f>
        <v>0.877250921954889</v>
      </c>
      <c r="E24" s="68" t="n">
        <f aca="false">IF(E$5="A",0,Assumptions!$F$88*Assumptions!$C$102/12*Assumptions!$F$196)</f>
        <v>0</v>
      </c>
      <c r="F24" s="68" t="n">
        <f aca="false">IF(F$5="A",0,E9*Assumptions!$C$102/12*Assumptions!$F$196)</f>
        <v>0</v>
      </c>
      <c r="G24" s="68" t="n">
        <f aca="false">IF(G$5="A",0,F9*Assumptions!$C$102/12*Assumptions!$F$196)</f>
        <v>0</v>
      </c>
      <c r="H24" s="68" t="n">
        <f aca="false">IF(H$5="A",0,G9*Assumptions!$C$102/12*Assumptions!$F$196)</f>
        <v>0</v>
      </c>
      <c r="I24" s="68" t="n">
        <f aca="false">IF(I$5="A",0,H9*Assumptions!$C$102/12*Assumptions!$F$196)</f>
        <v>0</v>
      </c>
      <c r="J24" s="68" t="n">
        <f aca="false">IF(J$5="A",0,I9*Assumptions!$C$102/12*Assumptions!$F$196)</f>
        <v>0</v>
      </c>
      <c r="K24" s="68" t="n">
        <f aca="false">IF(K$5="A",0,J9*Assumptions!$C$102/12*Assumptions!$F$196)</f>
        <v>0</v>
      </c>
      <c r="L24" s="68" t="n">
        <f aca="false">IF(L$5="A",0,K9*Assumptions!$C$102/12*Assumptions!$F$196)</f>
        <v>0</v>
      </c>
      <c r="M24" s="68" t="n">
        <f aca="false">IF(M$5="A",0,L9*Assumptions!$C$102/12*Assumptions!$F$196)</f>
        <v>0.0666666666666667</v>
      </c>
      <c r="N24" s="68" t="n">
        <f aca="false">IF(N$5="A",0,M9*Assumptions!$C$102/12*Assumptions!$F$196)</f>
        <v>0.0661111111111111</v>
      </c>
      <c r="O24" s="68" t="n">
        <f aca="false">IF(O$5="A",0,N9*Assumptions!$C$102/12*Assumptions!$F$196)</f>
        <v>0.0655601851851852</v>
      </c>
      <c r="P24" s="68" t="n">
        <f aca="false">IF(P$5="A",0,O9*Assumptions!$C$102/12*Assumptions!$F$196)</f>
        <v>0.0655694058641975</v>
      </c>
      <c r="Q24" s="68" t="n">
        <f aca="false">IF(Q$5="A",0,P9*Assumptions!$C$102/12*Assumptions!$F$196)</f>
        <v>0.0655739200745885</v>
      </c>
      <c r="R24" s="68" t="n">
        <f aca="false">IF(R$5="A",0,Q9*Assumptions!$C$102/12*Assumptions!$F$196)</f>
        <v>0.0739071389505101</v>
      </c>
      <c r="S24" s="68" t="n">
        <f aca="false">IF(S$5="A",0,R9*Assumptions!$C$102/12*Assumptions!$F$196)</f>
        <v>0.0738376578414575</v>
      </c>
      <c r="T24" s="68" t="n">
        <f aca="false">IF(T$5="A",0,S9*Assumptions!$C$102/12*Assumptions!$F$196)</f>
        <v>0.073768793360067</v>
      </c>
      <c r="U24" s="68" t="n">
        <f aca="false">IF(U$5="A",0,T9*Assumptions!$C$102/12*Assumptions!$F$196)</f>
        <v>0.0737699462399873</v>
      </c>
      <c r="V24" s="68" t="n">
        <f aca="false">IF(V$5="A",0,U9*Assumptions!$C$102/12*Assumptions!$F$196)</f>
        <v>0.0737705105033329</v>
      </c>
      <c r="W24" s="68" t="n">
        <f aca="false">IF(W$5="A",0,V9*Assumptions!$C$102/12*Assumptions!$F$196)</f>
        <v>0.0737704961938057</v>
      </c>
      <c r="X24" s="68" t="n">
        <f aca="false">IF(X$5="A",0,W9*Assumptions!$C$102/12*Assumptions!$F$196)</f>
        <v>0.0737704916108572</v>
      </c>
      <c r="Y24" s="68" t="n">
        <f aca="false">IF(Y$5="A",0,X9*Assumptions!$C$102/12*Assumptions!$F$196)</f>
        <v>0.0737704917682945</v>
      </c>
      <c r="Z24" s="68" t="n">
        <f aca="false">IF(Z$5="A",0,Y9*Assumptions!$C$102/12*Assumptions!$F$196)</f>
        <v>0.0737704918051737</v>
      </c>
      <c r="AA24" s="68" t="n">
        <f aca="false">IF(AA$5="A",0,Z9*Assumptions!$C$102/12*Assumptions!$F$196)</f>
        <v>0.0737704918035544</v>
      </c>
      <c r="AB24" s="68" t="n">
        <f aca="false">IF(AB$5="A",0,AA9*Assumptions!$C$102/12*Assumptions!$F$196)</f>
        <v>0.0737704918032606</v>
      </c>
    </row>
    <row r="25" customFormat="false" ht="15" hidden="false" customHeight="false" outlineLevel="0" collapsed="false">
      <c r="A25" s="28" t="s">
        <v>1104</v>
      </c>
      <c r="B25" s="62" t="s">
        <v>1118</v>
      </c>
      <c r="C25" s="67" t="n">
        <f aca="false">SUM(E25:P25)</f>
        <v>0.379469854359568</v>
      </c>
      <c r="D25" s="67" t="n">
        <f aca="false">SUM(Q25:AB25)</f>
        <v>1.27909019536422</v>
      </c>
      <c r="E25" s="68" t="n">
        <f aca="false">IF(E$5="A",0,Assumptions!$F$89*Assumptions!$C$102/12*Assumptions!$F$196)</f>
        <v>0</v>
      </c>
      <c r="F25" s="68" t="n">
        <f aca="false">IF(F$5="A",0,E10*Assumptions!$C$102/12*Assumptions!$F$196)</f>
        <v>0</v>
      </c>
      <c r="G25" s="68" t="n">
        <f aca="false">IF(G$5="A",0,F10*Assumptions!$C$102/12*Assumptions!$F$196)</f>
        <v>0</v>
      </c>
      <c r="H25" s="68" t="n">
        <f aca="false">IF(H$5="A",0,G10*Assumptions!$C$102/12*Assumptions!$F$196)</f>
        <v>0</v>
      </c>
      <c r="I25" s="68" t="n">
        <f aca="false">IF(I$5="A",0,H10*Assumptions!$C$102/12*Assumptions!$F$196)</f>
        <v>0</v>
      </c>
      <c r="J25" s="68" t="n">
        <f aca="false">IF(J$5="A",0,I10*Assumptions!$C$102/12*Assumptions!$F$196)</f>
        <v>0</v>
      </c>
      <c r="K25" s="68" t="n">
        <f aca="false">IF(K$5="A",0,J10*Assumptions!$C$102/12*Assumptions!$F$196)</f>
        <v>0</v>
      </c>
      <c r="L25" s="68" t="n">
        <f aca="false">IF(L$5="A",0,K10*Assumptions!$C$102/12*Assumptions!$F$196)</f>
        <v>0</v>
      </c>
      <c r="M25" s="68" t="n">
        <f aca="false">IF(M$5="A",0,L10*Assumptions!$C$102/12*Assumptions!$F$196)</f>
        <v>0.0916666666666667</v>
      </c>
      <c r="N25" s="68" t="n">
        <f aca="false">IF(N$5="A",0,M10*Assumptions!$C$102/12*Assumptions!$F$196)</f>
        <v>0.0909027777777778</v>
      </c>
      <c r="O25" s="68" t="n">
        <f aca="false">IF(O$5="A",0,N10*Assumptions!$C$102/12*Assumptions!$F$196)</f>
        <v>0.098478587962963</v>
      </c>
      <c r="P25" s="68" t="n">
        <f aca="false">IF(P$5="A",0,O10*Assumptions!$C$102/12*Assumptions!$F$196)</f>
        <v>0.0984218219521605</v>
      </c>
      <c r="Q25" s="68" t="n">
        <f aca="false">IF(Q$5="A",0,P10*Assumptions!$C$102/12*Assumptions!$F$196)</f>
        <v>0.0983591632507073</v>
      </c>
      <c r="R25" s="68" t="n">
        <f aca="false">IF(R$5="A",0,Q10*Assumptions!$C$102/12*Assumptions!$F$196)</f>
        <v>0.0983601584566428</v>
      </c>
      <c r="S25" s="68" t="n">
        <f aca="false">IF(S$5="A",0,R10*Assumptions!$C$102/12*Assumptions!$F$196)</f>
        <v>0.0983606723191054</v>
      </c>
      <c r="T25" s="68" t="n">
        <f aca="false">IF(T$5="A",0,S10*Assumptions!$C$102/12*Assumptions!$F$196)</f>
        <v>0.106693993076869</v>
      </c>
      <c r="U25" s="68" t="n">
        <f aca="false">IF(U$5="A",0,T10*Assumptions!$C$102/12*Assumptions!$F$196)</f>
        <v>0.106624544455034</v>
      </c>
      <c r="V25" s="68" t="n">
        <f aca="false">IF(V$5="A",0,U10*Assumptions!$C$102/12*Assumptions!$F$196)</f>
        <v>0.106555678853901</v>
      </c>
      <c r="W25" s="68" t="n">
        <f aca="false">IF(W$5="A",0,V10*Assumptions!$C$102/12*Assumptions!$F$196)</f>
        <v>0.106556831472426</v>
      </c>
      <c r="X25" s="68" t="n">
        <f aca="false">IF(X$5="A",0,W10*Assumptions!$C$102/12*Assumptions!$F$196)</f>
        <v>0.106557395747281</v>
      </c>
      <c r="Y25" s="68" t="n">
        <f aca="false">IF(Y$5="A",0,X10*Assumptions!$C$102/12*Assumptions!$F$196)</f>
        <v>0.106557381439836</v>
      </c>
      <c r="Z25" s="68" t="n">
        <f aca="false">IF(Z$5="A",0,Y10*Assumptions!$C$102/12*Assumptions!$F$196)</f>
        <v>0.114890710190107</v>
      </c>
      <c r="AA25" s="68" t="n">
        <f aca="false">IF(AA$5="A",0,Z10*Assumptions!$C$102/12*Assumptions!$F$196)</f>
        <v>0.114821265903084</v>
      </c>
      <c r="AB25" s="68" t="n">
        <f aca="false">IF(AB$5="A",0,AA10*Assumptions!$C$102/12*Assumptions!$F$196)</f>
        <v>0.114752400199223</v>
      </c>
    </row>
    <row r="26" customFormat="false" ht="15" hidden="false" customHeight="false" outlineLevel="0" collapsed="false">
      <c r="A26" s="28" t="s">
        <v>1105</v>
      </c>
      <c r="B26" s="62" t="s">
        <v>1118</v>
      </c>
      <c r="C26" s="67" t="n">
        <f aca="false">SUM(E26:P26)</f>
        <v>0.461837895447531</v>
      </c>
      <c r="D26" s="67" t="n">
        <f aca="false">SUM(Q26:AB26)</f>
        <v>1.60716237352267</v>
      </c>
      <c r="E26" s="68" t="n">
        <f aca="false">IF(E$5="A",0,Assumptions!$F$90*Assumptions!$C$102/12*Assumptions!$F$196)</f>
        <v>0</v>
      </c>
      <c r="F26" s="68" t="n">
        <f aca="false">IF(F$5="A",0,E11*Assumptions!$C$102/12*Assumptions!$F$196)</f>
        <v>0</v>
      </c>
      <c r="G26" s="68" t="n">
        <f aca="false">IF(G$5="A",0,F11*Assumptions!$C$102/12*Assumptions!$F$196)</f>
        <v>0</v>
      </c>
      <c r="H26" s="68" t="n">
        <f aca="false">IF(H$5="A",0,G11*Assumptions!$C$102/12*Assumptions!$F$196)</f>
        <v>0</v>
      </c>
      <c r="I26" s="68" t="n">
        <f aca="false">IF(I$5="A",0,H11*Assumptions!$C$102/12*Assumptions!$F$196)</f>
        <v>0</v>
      </c>
      <c r="J26" s="68" t="n">
        <f aca="false">IF(J$5="A",0,I11*Assumptions!$C$102/12*Assumptions!$F$196)</f>
        <v>0</v>
      </c>
      <c r="K26" s="68" t="n">
        <f aca="false">IF(K$5="A",0,J11*Assumptions!$C$102/12*Assumptions!$F$196)</f>
        <v>0</v>
      </c>
      <c r="L26" s="68" t="n">
        <f aca="false">IF(L$5="A",0,K11*Assumptions!$C$102/12*Assumptions!$F$196)</f>
        <v>0</v>
      </c>
      <c r="M26" s="68" t="n">
        <f aca="false">IF(M$5="A",0,L11*Assumptions!$C$102/12*Assumptions!$F$196)</f>
        <v>0.116666666666667</v>
      </c>
      <c r="N26" s="68" t="n">
        <f aca="false">IF(N$5="A",0,M11*Assumptions!$C$102/12*Assumptions!$F$196)</f>
        <v>0.115694444444444</v>
      </c>
      <c r="O26" s="68" t="n">
        <f aca="false">IF(O$5="A",0,N11*Assumptions!$C$102/12*Assumptions!$F$196)</f>
        <v>0.114730324074074</v>
      </c>
      <c r="P26" s="68" t="n">
        <f aca="false">IF(P$5="A",0,O11*Assumptions!$C$102/12*Assumptions!$F$196)</f>
        <v>0.114746460262346</v>
      </c>
      <c r="Q26" s="68" t="n">
        <f aca="false">IF(Q$5="A",0,P11*Assumptions!$C$102/12*Assumptions!$F$196)</f>
        <v>0.11475436013053</v>
      </c>
      <c r="R26" s="68" t="n">
        <f aca="false">IF(R$5="A",0,Q11*Assumptions!$C$102/12*Assumptions!$F$196)</f>
        <v>0.131420826496726</v>
      </c>
      <c r="S26" s="68" t="n">
        <f aca="false">IF(S$5="A",0,R11*Assumptions!$C$102/12*Assumptions!$F$196)</f>
        <v>0.131281873444773</v>
      </c>
      <c r="T26" s="68" t="n">
        <f aca="false">IF(T$5="A",0,S11*Assumptions!$C$102/12*Assumptions!$F$196)</f>
        <v>0.131144144167154</v>
      </c>
      <c r="U26" s="68" t="n">
        <f aca="false">IF(U$5="A",0,T11*Assumptions!$C$102/12*Assumptions!$F$196)</f>
        <v>0.131146449853234</v>
      </c>
      <c r="V26" s="68" t="n">
        <f aca="false">IF(V$5="A",0,U11*Assumptions!$C$102/12*Assumptions!$F$196)</f>
        <v>0.131147578383163</v>
      </c>
      <c r="W26" s="68" t="n">
        <f aca="false">IF(W$5="A",0,V11*Assumptions!$C$102/12*Assumptions!$F$196)</f>
        <v>0.13948088309803</v>
      </c>
      <c r="X26" s="68" t="n">
        <f aca="false">IF(X$5="A",0,W11*Assumptions!$C$102/12*Assumptions!$F$196)</f>
        <v>0.139411429487657</v>
      </c>
      <c r="Y26" s="68" t="n">
        <f aca="false">IF(Y$5="A",0,X11*Assumptions!$C$102/12*Assumptions!$F$196)</f>
        <v>0.139342564061786</v>
      </c>
      <c r="Z26" s="68" t="n">
        <f aca="false">IF(Z$5="A",0,Y11*Assumptions!$C$102/12*Assumptions!$F$196)</f>
        <v>0.139343716720421</v>
      </c>
      <c r="AA26" s="68" t="n">
        <f aca="false">IF(AA$5="A",0,Z11*Assumptions!$C$102/12*Assumptions!$F$196)</f>
        <v>0.139344280993482</v>
      </c>
      <c r="AB26" s="68" t="n">
        <f aca="false">IF(AB$5="A",0,AA11*Assumptions!$C$102/12*Assumptions!$F$196)</f>
        <v>0.139344266685718</v>
      </c>
    </row>
    <row r="27" customFormat="false" ht="15" hidden="false" customHeight="false" outlineLevel="0" collapsed="false">
      <c r="A27" s="28" t="s">
        <v>1106</v>
      </c>
      <c r="B27" s="62" t="s">
        <v>1118</v>
      </c>
      <c r="C27" s="67" t="n">
        <f aca="false">SUM(E27:P27)</f>
        <v>0.0989652633101852</v>
      </c>
      <c r="D27" s="67" t="n">
        <f aca="false">SUM(Q27:AB27)</f>
        <v>0.295082035802956</v>
      </c>
      <c r="E27" s="68" t="n">
        <f aca="false">IF(E$5="A",0,Assumptions!$F$91*Assumptions!$C$102/12*Assumptions!$F$196)</f>
        <v>0</v>
      </c>
      <c r="F27" s="68" t="n">
        <f aca="false">IF(F$5="A",0,E12*Assumptions!$C$102/12*Assumptions!$F$196)</f>
        <v>0</v>
      </c>
      <c r="G27" s="68" t="n">
        <f aca="false">IF(G$5="A",0,F12*Assumptions!$C$102/12*Assumptions!$F$196)</f>
        <v>0</v>
      </c>
      <c r="H27" s="68" t="n">
        <f aca="false">IF(H$5="A",0,G12*Assumptions!$C$102/12*Assumptions!$F$196)</f>
        <v>0</v>
      </c>
      <c r="I27" s="68" t="n">
        <f aca="false">IF(I$5="A",0,H12*Assumptions!$C$102/12*Assumptions!$F$196)</f>
        <v>0</v>
      </c>
      <c r="J27" s="68" t="n">
        <f aca="false">IF(J$5="A",0,I12*Assumptions!$C$102/12*Assumptions!$F$196)</f>
        <v>0</v>
      </c>
      <c r="K27" s="68" t="n">
        <f aca="false">IF(K$5="A",0,J12*Assumptions!$C$102/12*Assumptions!$F$196)</f>
        <v>0</v>
      </c>
      <c r="L27" s="68" t="n">
        <f aca="false">IF(L$5="A",0,K12*Assumptions!$C$102/12*Assumptions!$F$196)</f>
        <v>0</v>
      </c>
      <c r="M27" s="68" t="n">
        <f aca="false">IF(M$5="A",0,L12*Assumptions!$C$102/12*Assumptions!$F$196)</f>
        <v>0.025</v>
      </c>
      <c r="N27" s="68" t="n">
        <f aca="false">IF(N$5="A",0,M12*Assumptions!$C$102/12*Assumptions!$F$196)</f>
        <v>0.0247916666666667</v>
      </c>
      <c r="O27" s="68" t="n">
        <f aca="false">IF(O$5="A",0,N12*Assumptions!$C$102/12*Assumptions!$F$196)</f>
        <v>0.0245850694444444</v>
      </c>
      <c r="P27" s="68" t="n">
        <f aca="false">IF(P$5="A",0,O12*Assumptions!$C$102/12*Assumptions!$F$196)</f>
        <v>0.0245885271990741</v>
      </c>
      <c r="Q27" s="68" t="n">
        <f aca="false">IF(Q$5="A",0,P12*Assumptions!$C$102/12*Assumptions!$F$196)</f>
        <v>0.0245902200279707</v>
      </c>
      <c r="R27" s="68" t="n">
        <f aca="false">IF(R$5="A",0,Q12*Assumptions!$C$102/12*Assumptions!$F$196)</f>
        <v>0.0245901771064413</v>
      </c>
      <c r="S27" s="68" t="n">
        <f aca="false">IF(S$5="A",0,R12*Assumptions!$C$102/12*Assumptions!$F$196)</f>
        <v>0.0245901633572132</v>
      </c>
      <c r="T27" s="68" t="n">
        <f aca="false">IF(T$5="A",0,S12*Assumptions!$C$102/12*Assumptions!$F$196)</f>
        <v>0.0245901638294695</v>
      </c>
      <c r="U27" s="68" t="n">
        <f aca="false">IF(U$5="A",0,T12*Assumptions!$C$102/12*Assumptions!$F$196)</f>
        <v>0.024590163940111</v>
      </c>
      <c r="V27" s="68" t="n">
        <f aca="false">IF(V$5="A",0,U12*Assumptions!$C$102/12*Assumptions!$F$196)</f>
        <v>0.0245901639352535</v>
      </c>
      <c r="W27" s="68" t="n">
        <f aca="false">IF(W$5="A",0,V12*Assumptions!$C$102/12*Assumptions!$F$196)</f>
        <v>0.024590163934372</v>
      </c>
      <c r="X27" s="68" t="n">
        <f aca="false">IF(X$5="A",0,W12*Assumptions!$C$102/12*Assumptions!$F$196)</f>
        <v>0.0245901639344198</v>
      </c>
      <c r="Y27" s="68" t="n">
        <f aca="false">IF(Y$5="A",0,X12*Assumptions!$C$102/12*Assumptions!$F$196)</f>
        <v>0.0245901639344267</v>
      </c>
      <c r="Z27" s="68" t="n">
        <f aca="false">IF(Z$5="A",0,Y12*Assumptions!$C$102/12*Assumptions!$F$196)</f>
        <v>0.0245901639344263</v>
      </c>
      <c r="AA27" s="68" t="n">
        <f aca="false">IF(AA$5="A",0,Z12*Assumptions!$C$102/12*Assumptions!$F$196)</f>
        <v>0.0245901639344262</v>
      </c>
      <c r="AB27" s="68" t="n">
        <f aca="false">IF(AB$5="A",0,AA12*Assumptions!$C$102/12*Assumptions!$F$196)</f>
        <v>0.0245901639344262</v>
      </c>
    </row>
    <row r="28" customFormat="false" ht="15" hidden="false" customHeight="false" outlineLevel="0" collapsed="false">
      <c r="A28" s="28" t="s">
        <v>1107</v>
      </c>
      <c r="B28" s="62" t="s">
        <v>1118</v>
      </c>
      <c r="C28" s="67" t="n">
        <f aca="false">SUM(E28:P28)</f>
        <v>0.19793052662037</v>
      </c>
      <c r="D28" s="67" t="n">
        <f aca="false">SUM(Q28:AB28)</f>
        <v>0.590164071605913</v>
      </c>
      <c r="E28" s="68" t="n">
        <f aca="false">IF(E$5="A",0,Assumptions!$F$92*Assumptions!$C$102/12*Assumptions!$F$196)</f>
        <v>0</v>
      </c>
      <c r="F28" s="68" t="n">
        <f aca="false">IF(F$5="A",0,E13*Assumptions!$C$102/12*Assumptions!$F$196)</f>
        <v>0</v>
      </c>
      <c r="G28" s="68" t="n">
        <f aca="false">IF(G$5="A",0,F13*Assumptions!$C$102/12*Assumptions!$F$196)</f>
        <v>0</v>
      </c>
      <c r="H28" s="68" t="n">
        <f aca="false">IF(H$5="A",0,G13*Assumptions!$C$102/12*Assumptions!$F$196)</f>
        <v>0</v>
      </c>
      <c r="I28" s="68" t="n">
        <f aca="false">IF(I$5="A",0,H13*Assumptions!$C$102/12*Assumptions!$F$196)</f>
        <v>0</v>
      </c>
      <c r="J28" s="68" t="n">
        <f aca="false">IF(J$5="A",0,I13*Assumptions!$C$102/12*Assumptions!$F$196)</f>
        <v>0</v>
      </c>
      <c r="K28" s="68" t="n">
        <f aca="false">IF(K$5="A",0,J13*Assumptions!$C$102/12*Assumptions!$F$196)</f>
        <v>0</v>
      </c>
      <c r="L28" s="68" t="n">
        <f aca="false">IF(L$5="A",0,K13*Assumptions!$C$102/12*Assumptions!$F$196)</f>
        <v>0</v>
      </c>
      <c r="M28" s="68" t="n">
        <f aca="false">IF(M$5="A",0,L13*Assumptions!$C$102/12*Assumptions!$F$196)</f>
        <v>0.05</v>
      </c>
      <c r="N28" s="68" t="n">
        <f aca="false">IF(N$5="A",0,M13*Assumptions!$C$102/12*Assumptions!$F$196)</f>
        <v>0.0495833333333333</v>
      </c>
      <c r="O28" s="68" t="n">
        <f aca="false">IF(O$5="A",0,N13*Assumptions!$C$102/12*Assumptions!$F$196)</f>
        <v>0.0491701388888889</v>
      </c>
      <c r="P28" s="68" t="n">
        <f aca="false">IF(P$5="A",0,O13*Assumptions!$C$102/12*Assumptions!$F$196)</f>
        <v>0.0491770543981482</v>
      </c>
      <c r="Q28" s="68" t="n">
        <f aca="false">IF(Q$5="A",0,P13*Assumptions!$C$102/12*Assumptions!$F$196)</f>
        <v>0.0491804400559414</v>
      </c>
      <c r="R28" s="68" t="n">
        <f aca="false">IF(R$5="A",0,Q13*Assumptions!$C$102/12*Assumptions!$F$196)</f>
        <v>0.0491803542128826</v>
      </c>
      <c r="S28" s="68" t="n">
        <f aca="false">IF(S$5="A",0,R13*Assumptions!$C$102/12*Assumptions!$F$196)</f>
        <v>0.0491803267144265</v>
      </c>
      <c r="T28" s="68" t="n">
        <f aca="false">IF(T$5="A",0,S13*Assumptions!$C$102/12*Assumptions!$F$196)</f>
        <v>0.0491803276589391</v>
      </c>
      <c r="U28" s="68" t="n">
        <f aca="false">IF(U$5="A",0,T13*Assumptions!$C$102/12*Assumptions!$F$196)</f>
        <v>0.049180327880222</v>
      </c>
      <c r="V28" s="68" t="n">
        <f aca="false">IF(V$5="A",0,U13*Assumptions!$C$102/12*Assumptions!$F$196)</f>
        <v>0.049180327870507</v>
      </c>
      <c r="W28" s="68" t="n">
        <f aca="false">IF(W$5="A",0,V13*Assumptions!$C$102/12*Assumptions!$F$196)</f>
        <v>0.0491803278687439</v>
      </c>
      <c r="X28" s="68" t="n">
        <f aca="false">IF(X$5="A",0,W13*Assumptions!$C$102/12*Assumptions!$F$196)</f>
        <v>0.0491803278688396</v>
      </c>
      <c r="Y28" s="68" t="n">
        <f aca="false">IF(Y$5="A",0,X13*Assumptions!$C$102/12*Assumptions!$F$196)</f>
        <v>0.0491803278688535</v>
      </c>
      <c r="Z28" s="68" t="n">
        <f aca="false">IF(Z$5="A",0,Y13*Assumptions!$C$102/12*Assumptions!$F$196)</f>
        <v>0.0491803278688526</v>
      </c>
      <c r="AA28" s="68" t="n">
        <f aca="false">IF(AA$5="A",0,Z13*Assumptions!$C$102/12*Assumptions!$F$196)</f>
        <v>0.0491803278688525</v>
      </c>
      <c r="AB28" s="68" t="n">
        <f aca="false">IF(AB$5="A",0,AA13*Assumptions!$C$102/12*Assumptions!$F$196)</f>
        <v>0.0491803278688525</v>
      </c>
    </row>
    <row r="29" customFormat="false" ht="15" hidden="false" customHeight="false" outlineLevel="0" collapsed="false">
      <c r="A29" s="28" t="s">
        <v>1108</v>
      </c>
      <c r="B29" s="62" t="s">
        <v>1118</v>
      </c>
      <c r="C29" s="67" t="n">
        <f aca="false">SUM(E29:P29)</f>
        <v>0.369429516601563</v>
      </c>
      <c r="D29" s="67" t="n">
        <f aca="false">SUM(Q29:AB29)</f>
        <v>1.26873229182234</v>
      </c>
      <c r="E29" s="68" t="n">
        <f aca="false">IF(E$5="A",0,Assumptions!$F$93*Assumptions!$C$103/12*Assumptions!$F$196)</f>
        <v>0</v>
      </c>
      <c r="F29" s="68" t="n">
        <f aca="false">IF(F$5="A",0,E14*Assumptions!$C$103/12*Assumptions!$F$196)</f>
        <v>0</v>
      </c>
      <c r="G29" s="68" t="n">
        <f aca="false">IF(G$5="A",0,F14*Assumptions!$C$103/12*Assumptions!$F$196)</f>
        <v>0</v>
      </c>
      <c r="H29" s="68" t="n">
        <f aca="false">IF(H$5="A",0,G14*Assumptions!$C$103/12*Assumptions!$F$196)</f>
        <v>0</v>
      </c>
      <c r="I29" s="68" t="n">
        <f aca="false">IF(I$5="A",0,H14*Assumptions!$C$103/12*Assumptions!$F$196)</f>
        <v>0</v>
      </c>
      <c r="J29" s="68" t="n">
        <f aca="false">IF(J$5="A",0,I14*Assumptions!$C$103/12*Assumptions!$F$196)</f>
        <v>0</v>
      </c>
      <c r="K29" s="68" t="n">
        <f aca="false">IF(K$5="A",0,J14*Assumptions!$C$103/12*Assumptions!$F$196)</f>
        <v>0</v>
      </c>
      <c r="L29" s="68" t="n">
        <f aca="false">IF(L$5="A",0,K14*Assumptions!$C$103/12*Assumptions!$F$196)</f>
        <v>0</v>
      </c>
      <c r="M29" s="68" t="n">
        <f aca="false">IF(M$5="A",0,L14*Assumptions!$C$103/12*Assumptions!$F$196)</f>
        <v>0.0875</v>
      </c>
      <c r="N29" s="68" t="n">
        <f aca="false">IF(N$5="A",0,M14*Assumptions!$C$103/12*Assumptions!$F$196)</f>
        <v>0.08640625</v>
      </c>
      <c r="O29" s="68" t="n">
        <f aca="false">IF(O$5="A",0,N14*Assumptions!$C$103/12*Assumptions!$F$196)</f>
        <v>0.097826171875</v>
      </c>
      <c r="P29" s="68" t="n">
        <f aca="false">IF(P$5="A",0,O14*Assumptions!$C$103/12*Assumptions!$F$196)</f>
        <v>0.0976970947265625</v>
      </c>
      <c r="Q29" s="68" t="n">
        <f aca="false">IF(Q$5="A",0,P14*Assumptions!$C$103/12*Assumptions!$F$196)</f>
        <v>0.0975559591674805</v>
      </c>
      <c r="R29" s="68" t="n">
        <f aca="false">IF(R$5="A",0,Q14*Assumptions!$C$103/12*Assumptions!$F$196)</f>
        <v>0.0975593368263245</v>
      </c>
      <c r="S29" s="68" t="n">
        <f aca="false">IF(S$5="A",0,R14*Assumptions!$C$103/12*Assumptions!$F$196)</f>
        <v>0.0975610588000774</v>
      </c>
      <c r="T29" s="68" t="n">
        <f aca="false">IF(T$5="A",0,S14*Assumptions!$C$103/12*Assumptions!$F$196)</f>
        <v>0.09756099505467</v>
      </c>
      <c r="U29" s="68" t="n">
        <f aca="false">IF(U$5="A",0,T14*Assumptions!$C$103/12*Assumptions!$F$196)</f>
        <v>0.110060974326816</v>
      </c>
      <c r="V29" s="68" t="n">
        <f aca="false">IF(V$5="A",0,U14*Assumptions!$C$103/12*Assumptions!$F$196)</f>
        <v>0.109904725382731</v>
      </c>
      <c r="W29" s="68" t="n">
        <f aca="false">IF(W$5="A",0,V14*Assumptions!$C$103/12*Assumptions!$F$196)</f>
        <v>0.109750428753631</v>
      </c>
      <c r="X29" s="68" t="n">
        <f aca="false">IF(X$5="A",0,W14*Assumptions!$C$103/12*Assumptions!$F$196)</f>
        <v>0.109754310573295</v>
      </c>
      <c r="Y29" s="68" t="n">
        <f aca="false">IF(Y$5="A",0,X14*Assumptions!$C$103/12*Assumptions!$F$196)</f>
        <v>0.109756190758413</v>
      </c>
      <c r="Z29" s="68" t="n">
        <f aca="false">IF(Z$5="A",0,Y14*Assumptions!$C$103/12*Assumptions!$F$196)</f>
        <v>0.109756118733354</v>
      </c>
      <c r="AA29" s="68" t="n">
        <f aca="false">IF(AA$5="A",0,Z14*Assumptions!$C$103/12*Assumptions!$F$196)</f>
        <v>0.109756096131353</v>
      </c>
      <c r="AB29" s="68" t="n">
        <f aca="false">IF(AB$5="A",0,AA14*Assumptions!$C$103/12*Assumptions!$F$196)</f>
        <v>0.109756097314191</v>
      </c>
    </row>
    <row r="30" customFormat="false" ht="15" hidden="false" customHeight="false" outlineLevel="0" collapsed="false">
      <c r="A30" s="28" t="s">
        <v>1109</v>
      </c>
      <c r="B30" s="62" t="s">
        <v>1118</v>
      </c>
      <c r="C30" s="67" t="n">
        <f aca="false">SUM(E30:P30)</f>
        <v>0.246132690429688</v>
      </c>
      <c r="D30" s="67" t="n">
        <f aca="false">SUM(Q30:AB30)</f>
        <v>0.866300385120607</v>
      </c>
      <c r="E30" s="68" t="n">
        <f aca="false">IF(E$5="A",0,Assumptions!$F$94*Assumptions!$C$103/12*Assumptions!$F$196)</f>
        <v>0</v>
      </c>
      <c r="F30" s="68" t="n">
        <f aca="false">IF(F$5="A",0,E15*Assumptions!$C$103/12*Assumptions!$F$196)</f>
        <v>0</v>
      </c>
      <c r="G30" s="68" t="n">
        <f aca="false">IF(G$5="A",0,F15*Assumptions!$C$103/12*Assumptions!$F$196)</f>
        <v>0</v>
      </c>
      <c r="H30" s="68" t="n">
        <f aca="false">IF(H$5="A",0,G15*Assumptions!$C$103/12*Assumptions!$F$196)</f>
        <v>0</v>
      </c>
      <c r="I30" s="68" t="n">
        <f aca="false">IF(I$5="A",0,H15*Assumptions!$C$103/12*Assumptions!$F$196)</f>
        <v>0</v>
      </c>
      <c r="J30" s="68" t="n">
        <f aca="false">IF(J$5="A",0,I15*Assumptions!$C$103/12*Assumptions!$F$196)</f>
        <v>0</v>
      </c>
      <c r="K30" s="68" t="n">
        <f aca="false">IF(K$5="A",0,J15*Assumptions!$C$103/12*Assumptions!$F$196)</f>
        <v>0</v>
      </c>
      <c r="L30" s="68" t="n">
        <f aca="false">IF(L$5="A",0,K15*Assumptions!$C$103/12*Assumptions!$F$196)</f>
        <v>0</v>
      </c>
      <c r="M30" s="68" t="n">
        <f aca="false">IF(M$5="A",0,L15*Assumptions!$C$103/12*Assumptions!$F$196)</f>
        <v>0.0625</v>
      </c>
      <c r="N30" s="68" t="n">
        <f aca="false">IF(N$5="A",0,M15*Assumptions!$C$103/12*Assumptions!$F$196)</f>
        <v>0.06171875</v>
      </c>
      <c r="O30" s="68" t="n">
        <f aca="false">IF(O$5="A",0,N15*Assumptions!$C$103/12*Assumptions!$F$196)</f>
        <v>0.060947265625</v>
      </c>
      <c r="P30" s="68" t="n">
        <f aca="false">IF(P$5="A",0,O15*Assumptions!$C$103/12*Assumptions!$F$196)</f>
        <v>0.0609666748046875</v>
      </c>
      <c r="Q30" s="68" t="n">
        <f aca="false">IF(Q$5="A",0,P15*Assumptions!$C$103/12*Assumptions!$F$196)</f>
        <v>0.0609760757446289</v>
      </c>
      <c r="R30" s="68" t="n">
        <f aca="false">IF(R$5="A",0,Q15*Assumptions!$C$103/12*Assumptions!$F$196)</f>
        <v>0.0734757156181336</v>
      </c>
      <c r="S30" s="68" t="n">
        <f aca="false">IF(S$5="A",0,R15*Assumptions!$C$103/12*Assumptions!$F$196)</f>
        <v>0.0733193526079655</v>
      </c>
      <c r="T30" s="68" t="n">
        <f aca="false">IF(T$5="A",0,S15*Assumptions!$C$103/12*Assumptions!$F$196)</f>
        <v>0.0731650616471738</v>
      </c>
      <c r="U30" s="68" t="n">
        <f aca="false">IF(U$5="A",0,T15*Assumptions!$C$103/12*Assumptions!$F$196)</f>
        <v>0.0731689448218108</v>
      </c>
      <c r="V30" s="68" t="n">
        <f aca="false">IF(V$5="A",0,U15*Assumptions!$C$103/12*Assumptions!$F$196)</f>
        <v>0.0731708249191377</v>
      </c>
      <c r="W30" s="68" t="n">
        <f aca="false">IF(W$5="A",0,V15*Assumptions!$C$103/12*Assumptions!$F$196)</f>
        <v>0.0731707528782381</v>
      </c>
      <c r="X30" s="68" t="n">
        <f aca="false">IF(X$5="A",0,W15*Assumptions!$C$103/12*Assumptions!$F$196)</f>
        <v>0.0731707302775328</v>
      </c>
      <c r="Y30" s="68" t="n">
        <f aca="false">IF(Y$5="A",0,X15*Assumptions!$C$103/12*Assumptions!$F$196)</f>
        <v>0.0731707314605529</v>
      </c>
      <c r="Z30" s="68" t="n">
        <f aca="false">IF(Z$5="A",0,Y15*Assumptions!$C$103/12*Assumptions!$F$196)</f>
        <v>0.0731707317282739</v>
      </c>
      <c r="AA30" s="68" t="n">
        <f aca="false">IF(AA$5="A",0,Z15*Assumptions!$C$103/12*Assumptions!$F$196)</f>
        <v>0.0731707317101397</v>
      </c>
      <c r="AB30" s="68" t="n">
        <f aca="false">IF(AB$5="A",0,AA15*Assumptions!$C$103/12*Assumptions!$F$196)</f>
        <v>0.0731707317070198</v>
      </c>
    </row>
    <row r="31" customFormat="false" ht="15" hidden="false" customHeight="false" outlineLevel="0" collapsed="false">
      <c r="A31" s="28" t="s">
        <v>1110</v>
      </c>
      <c r="B31" s="62" t="s">
        <v>1118</v>
      </c>
      <c r="C31" s="67" t="n">
        <f aca="false">SUM(E31:P31)</f>
        <v>0.0652962191358025</v>
      </c>
      <c r="D31" s="67" t="n">
        <f aca="false">SUM(Q31:AB31)</f>
        <v>0.193548734037975</v>
      </c>
      <c r="E31" s="68" t="n">
        <f aca="false">IF(E$5="A",0,Assumptions!$F$95*Assumptions!$C$104/12*Assumptions!$F$196)</f>
        <v>0</v>
      </c>
      <c r="F31" s="68" t="n">
        <f aca="false">IF(F$5="A",0,E16*Assumptions!$C$104/12*Assumptions!$F$196)</f>
        <v>0</v>
      </c>
      <c r="G31" s="68" t="n">
        <f aca="false">IF(G$5="A",0,F16*Assumptions!$C$104/12*Assumptions!$F$196)</f>
        <v>0</v>
      </c>
      <c r="H31" s="68" t="n">
        <f aca="false">IF(H$5="A",0,G16*Assumptions!$C$104/12*Assumptions!$F$196)</f>
        <v>0</v>
      </c>
      <c r="I31" s="68" t="n">
        <f aca="false">IF(I$5="A",0,H16*Assumptions!$C$104/12*Assumptions!$F$196)</f>
        <v>0</v>
      </c>
      <c r="J31" s="68" t="n">
        <f aca="false">IF(J$5="A",0,I16*Assumptions!$C$104/12*Assumptions!$F$196)</f>
        <v>0</v>
      </c>
      <c r="K31" s="68" t="n">
        <f aca="false">IF(K$5="A",0,J16*Assumptions!$C$104/12*Assumptions!$F$196)</f>
        <v>0</v>
      </c>
      <c r="L31" s="68" t="n">
        <f aca="false">IF(L$5="A",0,K16*Assumptions!$C$104/12*Assumptions!$F$196)</f>
        <v>0</v>
      </c>
      <c r="M31" s="68" t="n">
        <f aca="false">IF(M$5="A",0,L16*Assumptions!$C$104/12*Assumptions!$F$196)</f>
        <v>0.0166666666666667</v>
      </c>
      <c r="N31" s="68" t="n">
        <f aca="false">IF(N$5="A",0,M16*Assumptions!$C$104/12*Assumptions!$F$196)</f>
        <v>0.0163888888888889</v>
      </c>
      <c r="O31" s="68" t="n">
        <f aca="false">IF(O$5="A",0,N16*Assumptions!$C$104/12*Assumptions!$F$196)</f>
        <v>0.0161157407407407</v>
      </c>
      <c r="P31" s="68" t="n">
        <f aca="false">IF(P$5="A",0,O16*Assumptions!$C$104/12*Assumptions!$F$196)</f>
        <v>0.0161249228395062</v>
      </c>
      <c r="Q31" s="68" t="n">
        <f aca="false">IF(Q$5="A",0,P16*Assumptions!$C$104/12*Assumptions!$F$196)</f>
        <v>0.0161293222736626</v>
      </c>
      <c r="R31" s="68" t="n">
        <f aca="false">IF(R$5="A",0,Q16*Assumptions!$C$104/12*Assumptions!$F$196)</f>
        <v>0.0161290959147805</v>
      </c>
      <c r="S31" s="68" t="n">
        <f aca="false">IF(S$5="A",0,R16*Assumptions!$C$104/12*Assumptions!$F$196)</f>
        <v>0.016129026363526</v>
      </c>
      <c r="T31" s="68" t="n">
        <f aca="false">IF(T$5="A",0,S16*Assumptions!$C$104/12*Assumptions!$F$196)</f>
        <v>0.0161290312953616</v>
      </c>
      <c r="U31" s="68" t="n">
        <f aca="false">IF(U$5="A",0,T16*Assumptions!$C$104/12*Assumptions!$F$196)</f>
        <v>0.0161290323723519</v>
      </c>
      <c r="V31" s="68" t="n">
        <f aca="false">IF(V$5="A",0,U16*Assumptions!$C$104/12*Assumptions!$F$196)</f>
        <v>0.0161290322722048</v>
      </c>
      <c r="W31" s="68" t="n">
        <f aca="false">IF(W$5="A",0,V16*Assumptions!$C$104/12*Assumptions!$F$196)</f>
        <v>0.0161290322559241</v>
      </c>
      <c r="X31" s="68" t="n">
        <f aca="false">IF(X$5="A",0,W16*Assumptions!$C$104/12*Assumptions!$F$196)</f>
        <v>0.0161290322578645</v>
      </c>
      <c r="Y31" s="68" t="n">
        <f aca="false">IF(Y$5="A",0,X16*Assumptions!$C$104/12*Assumptions!$F$196)</f>
        <v>0.0161290322581035</v>
      </c>
      <c r="Z31" s="68" t="n">
        <f aca="false">IF(Z$5="A",0,Y16*Assumptions!$C$104/12*Assumptions!$F$196)</f>
        <v>0.0161290322580672</v>
      </c>
      <c r="AA31" s="68" t="n">
        <f aca="false">IF(AA$5="A",0,Z16*Assumptions!$C$104/12*Assumptions!$F$196)</f>
        <v>0.0161290322580638</v>
      </c>
      <c r="AB31" s="68" t="n">
        <f aca="false">IF(AB$5="A",0,AA16*Assumptions!$C$104/12*Assumptions!$F$196)</f>
        <v>0.0161290322580645</v>
      </c>
    </row>
    <row r="32" customFormat="false" ht="15" hidden="false" customHeight="false" outlineLevel="0" collapsed="false">
      <c r="A32" s="28" t="s">
        <v>1111</v>
      </c>
      <c r="B32" s="62" t="s">
        <v>1118</v>
      </c>
      <c r="C32" s="67" t="n">
        <f aca="false">SUM(E32:P32)</f>
        <v>0.408443981481482</v>
      </c>
      <c r="D32" s="67" t="n">
        <f aca="false">SUM(Q32:AB32)</f>
        <v>1.53328338584438</v>
      </c>
      <c r="E32" s="68" t="n">
        <f aca="false">IF(E$5="A",0,Assumptions!$F$96*Assumptions!$C$104/12*Assumptions!$F$196)</f>
        <v>0</v>
      </c>
      <c r="F32" s="68" t="n">
        <f aca="false">IF(F$5="A",0,E17*Assumptions!$C$104/12*Assumptions!$F$196)</f>
        <v>0</v>
      </c>
      <c r="G32" s="68" t="n">
        <f aca="false">IF(G$5="A",0,F17*Assumptions!$C$104/12*Assumptions!$F$196)</f>
        <v>0</v>
      </c>
      <c r="H32" s="68" t="n">
        <f aca="false">IF(H$5="A",0,G17*Assumptions!$C$104/12*Assumptions!$F$196)</f>
        <v>0</v>
      </c>
      <c r="I32" s="68" t="n">
        <f aca="false">IF(I$5="A",0,H17*Assumptions!$C$104/12*Assumptions!$F$196)</f>
        <v>0</v>
      </c>
      <c r="J32" s="68" t="n">
        <f aca="false">IF(J$5="A",0,I17*Assumptions!$C$104/12*Assumptions!$F$196)</f>
        <v>0</v>
      </c>
      <c r="K32" s="68" t="n">
        <f aca="false">IF(K$5="A",0,J17*Assumptions!$C$104/12*Assumptions!$F$196)</f>
        <v>0</v>
      </c>
      <c r="L32" s="68" t="n">
        <f aca="false">IF(L$5="A",0,K17*Assumptions!$C$104/12*Assumptions!$F$196)</f>
        <v>0</v>
      </c>
      <c r="M32" s="68" t="n">
        <f aca="false">IF(M$5="A",0,L17*Assumptions!$C$104/12*Assumptions!$F$196)</f>
        <v>0.1</v>
      </c>
      <c r="N32" s="68" t="n">
        <f aca="false">IF(N$5="A",0,M17*Assumptions!$C$104/12*Assumptions!$F$196)</f>
        <v>0.0983333333333333</v>
      </c>
      <c r="O32" s="68" t="n">
        <f aca="false">IF(O$5="A",0,N17*Assumptions!$C$104/12*Assumptions!$F$196)</f>
        <v>0.0966944444444445</v>
      </c>
      <c r="P32" s="68" t="n">
        <f aca="false">IF(P$5="A",0,O17*Assumptions!$C$104/12*Assumptions!$F$196)</f>
        <v>0.113416203703704</v>
      </c>
      <c r="Q32" s="68" t="n">
        <f aca="false">IF(Q$5="A",0,P17*Assumptions!$C$104/12*Assumptions!$F$196)</f>
        <v>0.113164822530864</v>
      </c>
      <c r="R32" s="68" t="n">
        <f aca="false">IF(R$5="A",0,Q17*Assumptions!$C$104/12*Assumptions!$F$196)</f>
        <v>0.129556982896091</v>
      </c>
      <c r="S32" s="68" t="n">
        <f aca="false">IF(S$5="A",0,R17*Assumptions!$C$104/12*Assumptions!$F$196)</f>
        <v>0.129287969909551</v>
      </c>
      <c r="T32" s="68" t="n">
        <f aca="false">IF(T$5="A",0,S17*Assumptions!$C$104/12*Assumptions!$F$196)</f>
        <v>0.129019250786573</v>
      </c>
      <c r="U32" s="68" t="n">
        <f aca="false">IF(U$5="A",0,T17*Assumptions!$C$104/12*Assumptions!$F$196)</f>
        <v>0.129028212988398</v>
      </c>
      <c r="V32" s="68" t="n">
        <f aca="false">IF(V$5="A",0,U17*Assumptions!$C$104/12*Assumptions!$F$196)</f>
        <v>0.129032542270417</v>
      </c>
      <c r="W32" s="68" t="n">
        <f aca="false">IF(W$5="A",0,V17*Assumptions!$C$104/12*Assumptions!$F$196)</f>
        <v>0.129032320745686</v>
      </c>
      <c r="X32" s="68" t="n">
        <f aca="false">IF(X$5="A",0,W17*Assumptions!$C$104/12*Assumptions!$F$196)</f>
        <v>0.129032252283065</v>
      </c>
      <c r="Y32" s="68" t="n">
        <f aca="false">IF(Y$5="A",0,X17*Assumptions!$C$104/12*Assumptions!$F$196)</f>
        <v>0.129032257116188</v>
      </c>
      <c r="Z32" s="68" t="n">
        <f aca="false">IF(Z$5="A",0,Y17*Assumptions!$C$104/12*Assumptions!$F$196)</f>
        <v>0.129032258176679</v>
      </c>
      <c r="AA32" s="68" t="n">
        <f aca="false">IF(AA$5="A",0,Z17*Assumptions!$C$104/12*Assumptions!$F$196)</f>
        <v>0.129032258078452</v>
      </c>
      <c r="AB32" s="68" t="n">
        <f aca="false">IF(AB$5="A",0,AA17*Assumptions!$C$104/12*Assumptions!$F$196)</f>
        <v>0.129032258062415</v>
      </c>
    </row>
    <row r="33" customFormat="false" ht="15" hidden="false" customHeight="false" outlineLevel="0" collapsed="false">
      <c r="A33" s="28" t="s">
        <v>1112</v>
      </c>
      <c r="B33" s="62" t="s">
        <v>1118</v>
      </c>
      <c r="C33" s="67" t="n">
        <f aca="false">SUM(E33:P33)</f>
        <v>0.195888657407407</v>
      </c>
      <c r="D33" s="67" t="n">
        <f aca="false">SUM(Q33:AB33)</f>
        <v>0.710458897097058</v>
      </c>
      <c r="E33" s="68" t="n">
        <f aca="false">IF(E$5="A",0,Assumptions!$F$97*Assumptions!$C$104/12*Assumptions!$F$196)</f>
        <v>0</v>
      </c>
      <c r="F33" s="68" t="n">
        <f aca="false">IF(F$5="A",0,E18*Assumptions!$C$104/12*Assumptions!$F$196)</f>
        <v>0</v>
      </c>
      <c r="G33" s="68" t="n">
        <f aca="false">IF(G$5="A",0,F18*Assumptions!$C$104/12*Assumptions!$F$196)</f>
        <v>0</v>
      </c>
      <c r="H33" s="68" t="n">
        <f aca="false">IF(H$5="A",0,G18*Assumptions!$C$104/12*Assumptions!$F$196)</f>
        <v>0</v>
      </c>
      <c r="I33" s="68" t="n">
        <f aca="false">IF(I$5="A",0,H18*Assumptions!$C$104/12*Assumptions!$F$196)</f>
        <v>0</v>
      </c>
      <c r="J33" s="68" t="n">
        <f aca="false">IF(J$5="A",0,I18*Assumptions!$C$104/12*Assumptions!$F$196)</f>
        <v>0</v>
      </c>
      <c r="K33" s="68" t="n">
        <f aca="false">IF(K$5="A",0,J18*Assumptions!$C$104/12*Assumptions!$F$196)</f>
        <v>0</v>
      </c>
      <c r="L33" s="68" t="n">
        <f aca="false">IF(L$5="A",0,K18*Assumptions!$C$104/12*Assumptions!$F$196)</f>
        <v>0</v>
      </c>
      <c r="M33" s="68" t="n">
        <f aca="false">IF(M$5="A",0,L18*Assumptions!$C$104/12*Assumptions!$F$196)</f>
        <v>0.05</v>
      </c>
      <c r="N33" s="68" t="n">
        <f aca="false">IF(N$5="A",0,M18*Assumptions!$C$104/12*Assumptions!$F$196)</f>
        <v>0.0491666666666667</v>
      </c>
      <c r="O33" s="68" t="n">
        <f aca="false">IF(O$5="A",0,N18*Assumptions!$C$104/12*Assumptions!$F$196)</f>
        <v>0.0483472222222222</v>
      </c>
      <c r="P33" s="68" t="n">
        <f aca="false">IF(P$5="A",0,O18*Assumptions!$C$104/12*Assumptions!$F$196)</f>
        <v>0.0483747685185185</v>
      </c>
      <c r="Q33" s="68" t="n">
        <f aca="false">IF(Q$5="A",0,P18*Assumptions!$C$104/12*Assumptions!$F$196)</f>
        <v>0.0483879668209877</v>
      </c>
      <c r="R33" s="68" t="n">
        <f aca="false">IF(R$5="A",0,Q18*Assumptions!$C$104/12*Assumptions!$F$196)</f>
        <v>0.0483872877443416</v>
      </c>
      <c r="S33" s="68" t="n">
        <f aca="false">IF(S$5="A",0,R18*Assumptions!$C$104/12*Assumptions!$F$196)</f>
        <v>0.0483870790905779</v>
      </c>
      <c r="T33" s="68" t="n">
        <f aca="false">IF(T$5="A",0,S18*Assumptions!$C$104/12*Assumptions!$F$196)</f>
        <v>0.0483870938860847</v>
      </c>
      <c r="U33" s="68" t="n">
        <f aca="false">IF(U$5="A",0,T18*Assumptions!$C$104/12*Assumptions!$F$196)</f>
        <v>0.0650537637837223</v>
      </c>
      <c r="V33" s="68" t="n">
        <f aca="false">IF(V$5="A",0,U18*Assumptions!$C$104/12*Assumptions!$F$196)</f>
        <v>0.0647759857055032</v>
      </c>
      <c r="W33" s="68" t="n">
        <f aca="false">IF(W$5="A",0,V18*Assumptions!$C$104/12*Assumptions!$F$196)</f>
        <v>0.0645028375085129</v>
      </c>
      <c r="X33" s="68" t="n">
        <f aca="false">IF(X$5="A",0,W18*Assumptions!$C$104/12*Assumptions!$F$196)</f>
        <v>0.0645120196130997</v>
      </c>
      <c r="Y33" s="68" t="n">
        <f aca="false">IF(Y$5="A",0,X18*Assumptions!$C$104/12*Assumptions!$F$196)</f>
        <v>0.0645164190479731</v>
      </c>
      <c r="Z33" s="68" t="n">
        <f aca="false">IF(Z$5="A",0,Y18*Assumptions!$C$104/12*Assumptions!$F$196)</f>
        <v>0.0645161926889821</v>
      </c>
      <c r="AA33" s="68" t="n">
        <f aca="false">IF(AA$5="A",0,Z18*Assumptions!$C$104/12*Assumptions!$F$196)</f>
        <v>0.0645161231377174</v>
      </c>
      <c r="AB33" s="68" t="n">
        <f aca="false">IF(AB$5="A",0,AA18*Assumptions!$C$104/12*Assumptions!$F$196)</f>
        <v>0.064516128069555</v>
      </c>
    </row>
    <row r="34" customFormat="false" ht="15" hidden="false" customHeight="false" outlineLevel="0" collapsed="false">
      <c r="A34" s="28" t="s">
        <v>1113</v>
      </c>
      <c r="B34" s="62" t="s">
        <v>1118</v>
      </c>
      <c r="C34" s="67" t="n">
        <f aca="false">SUM(E34:P34)</f>
        <v>0.326481095679012</v>
      </c>
      <c r="D34" s="67" t="n">
        <f aca="false">SUM(Q34:AB34)</f>
        <v>1.12981442981756</v>
      </c>
      <c r="E34" s="68" t="n">
        <f aca="false">IF(E$5="A",0,Assumptions!$F$98*Assumptions!$C$104/12*Assumptions!$F$196)</f>
        <v>0</v>
      </c>
      <c r="F34" s="68" t="n">
        <f aca="false">IF(F$5="A",0,E19*Assumptions!$C$104/12*Assumptions!$F$196)</f>
        <v>0</v>
      </c>
      <c r="G34" s="68" t="n">
        <f aca="false">IF(G$5="A",0,F19*Assumptions!$C$104/12*Assumptions!$F$196)</f>
        <v>0</v>
      </c>
      <c r="H34" s="68" t="n">
        <f aca="false">IF(H$5="A",0,G19*Assumptions!$C$104/12*Assumptions!$F$196)</f>
        <v>0</v>
      </c>
      <c r="I34" s="68" t="n">
        <f aca="false">IF(I$5="A",0,H19*Assumptions!$C$104/12*Assumptions!$F$196)</f>
        <v>0</v>
      </c>
      <c r="J34" s="68" t="n">
        <f aca="false">IF(J$5="A",0,I19*Assumptions!$C$104/12*Assumptions!$F$196)</f>
        <v>0</v>
      </c>
      <c r="K34" s="68" t="n">
        <f aca="false">IF(K$5="A",0,J19*Assumptions!$C$104/12*Assumptions!$F$196)</f>
        <v>0</v>
      </c>
      <c r="L34" s="68" t="n">
        <f aca="false">IF(L$5="A",0,K19*Assumptions!$C$104/12*Assumptions!$F$196)</f>
        <v>0</v>
      </c>
      <c r="M34" s="68" t="n">
        <f aca="false">IF(M$5="A",0,L19*Assumptions!$C$104/12*Assumptions!$F$196)</f>
        <v>0.0833333333333333</v>
      </c>
      <c r="N34" s="68" t="n">
        <f aca="false">IF(N$5="A",0,M19*Assumptions!$C$104/12*Assumptions!$F$196)</f>
        <v>0.0819444444444444</v>
      </c>
      <c r="O34" s="68" t="n">
        <f aca="false">IF(O$5="A",0,N19*Assumptions!$C$104/12*Assumptions!$F$196)</f>
        <v>0.0805787037037037</v>
      </c>
      <c r="P34" s="68" t="n">
        <f aca="false">IF(P$5="A",0,O19*Assumptions!$C$104/12*Assumptions!$F$196)</f>
        <v>0.0806246141975309</v>
      </c>
      <c r="Q34" s="68" t="n">
        <f aca="false">IF(Q$5="A",0,P19*Assumptions!$C$104/12*Assumptions!$F$196)</f>
        <v>0.0806466113683128</v>
      </c>
      <c r="R34" s="68" t="n">
        <f aca="false">IF(R$5="A",0,Q19*Assumptions!$C$104/12*Assumptions!$F$196)</f>
        <v>0.0806454795739026</v>
      </c>
      <c r="S34" s="68" t="n">
        <f aca="false">IF(S$5="A",0,R19*Assumptions!$C$104/12*Assumptions!$F$196)</f>
        <v>0.0973117984842964</v>
      </c>
      <c r="T34" s="68" t="n">
        <f aca="false">IF(T$5="A",0,S19*Assumptions!$C$104/12*Assumptions!$F$196)</f>
        <v>0.0970340453656967</v>
      </c>
      <c r="U34" s="68" t="n">
        <f aca="false">IF(U$5="A",0,T19*Assumptions!$C$104/12*Assumptions!$F$196)</f>
        <v>0.0967609026025001</v>
      </c>
      <c r="V34" s="68" t="n">
        <f aca="false">IF(V$5="A",0,U19*Assumptions!$C$104/12*Assumptions!$F$196)</f>
        <v>0.0967700842005301</v>
      </c>
      <c r="W34" s="68" t="n">
        <f aca="false">IF(W$5="A",0,V19*Assumptions!$C$104/12*Assumptions!$F$196)</f>
        <v>0.0967744835532828</v>
      </c>
      <c r="X34" s="68" t="n">
        <f aca="false">IF(X$5="A",0,W19*Assumptions!$C$104/12*Assumptions!$F$196)</f>
        <v>0.0967742572041031</v>
      </c>
      <c r="Y34" s="68" t="n">
        <f aca="false">IF(Y$5="A",0,X19*Assumptions!$C$104/12*Assumptions!$F$196)</f>
        <v>0.0967741876540436</v>
      </c>
      <c r="Z34" s="68" t="n">
        <f aca="false">IF(Z$5="A",0,Y19*Assumptions!$C$104/12*Assumptions!$F$196)</f>
        <v>0.0967741925856976</v>
      </c>
      <c r="AA34" s="68" t="n">
        <f aca="false">IF(AA$5="A",0,Z19*Assumptions!$C$104/12*Assumptions!$F$196)</f>
        <v>0.096774193662671</v>
      </c>
      <c r="AB34" s="68" t="n">
        <f aca="false">IF(AB$5="A",0,AA19*Assumptions!$C$104/12*Assumptions!$F$196)</f>
        <v>0.0967741935625272</v>
      </c>
    </row>
    <row r="35" customFormat="false" ht="15" hidden="false" customHeight="false" outlineLevel="0" collapsed="false">
      <c r="A35" s="28" t="s">
        <v>1114</v>
      </c>
      <c r="B35" s="62" t="s">
        <v>1118</v>
      </c>
      <c r="C35" s="67" t="n">
        <f aca="false">SUM(E35:P35)</f>
        <v>0.052891255308642</v>
      </c>
      <c r="D35" s="67" t="n">
        <f aca="false">SUM(Q35:AB35)</f>
        <v>0.15789475577169</v>
      </c>
      <c r="E35" s="68" t="n">
        <f aca="false">IF(E$5="A",0,Assumptions!$F$99*Assumptions!$C$105/12*Assumptions!$F$196)</f>
        <v>0</v>
      </c>
      <c r="F35" s="68" t="n">
        <f aca="false">IF(F$5="A",0,E20*Assumptions!$C$105/12*Assumptions!$F$196)</f>
        <v>0</v>
      </c>
      <c r="G35" s="68" t="n">
        <f aca="false">IF(G$5="A",0,F20*Assumptions!$C$105/12*Assumptions!$F$196)</f>
        <v>0</v>
      </c>
      <c r="H35" s="68" t="n">
        <f aca="false">IF(H$5="A",0,G20*Assumptions!$C$105/12*Assumptions!$F$196)</f>
        <v>0</v>
      </c>
      <c r="I35" s="68" t="n">
        <f aca="false">IF(I$5="A",0,H20*Assumptions!$C$105/12*Assumptions!$F$196)</f>
        <v>0</v>
      </c>
      <c r="J35" s="68" t="n">
        <f aca="false">IF(J$5="A",0,I20*Assumptions!$C$105/12*Assumptions!$F$196)</f>
        <v>0</v>
      </c>
      <c r="K35" s="68" t="n">
        <f aca="false">IF(K$5="A",0,J20*Assumptions!$C$105/12*Assumptions!$F$196)</f>
        <v>0</v>
      </c>
      <c r="L35" s="68" t="n">
        <f aca="false">IF(L$5="A",0,K20*Assumptions!$C$105/12*Assumptions!$F$196)</f>
        <v>0</v>
      </c>
      <c r="M35" s="68" t="n">
        <f aca="false">IF(M$5="A",0,L20*Assumptions!$C$105/12*Assumptions!$F$196)</f>
        <v>0.0133333333333333</v>
      </c>
      <c r="N35" s="68" t="n">
        <f aca="false">IF(N$5="A",0,M20*Assumptions!$C$105/12*Assumptions!$F$196)</f>
        <v>0.0132444444444444</v>
      </c>
      <c r="O35" s="68" t="n">
        <f aca="false">IF(O$5="A",0,N20*Assumptions!$C$105/12*Assumptions!$F$196)</f>
        <v>0.0131561481481481</v>
      </c>
      <c r="P35" s="68" t="n">
        <f aca="false">IF(P$5="A",0,O20*Assumptions!$C$105/12*Assumptions!$F$196)</f>
        <v>0.0131573293827161</v>
      </c>
      <c r="Q35" s="68" t="n">
        <f aca="false">IF(Q$5="A",0,P20*Assumptions!$C$105/12*Assumptions!$F$196)</f>
        <v>0.0131579101497942</v>
      </c>
      <c r="R35" s="68" t="n">
        <f aca="false">IF(R$5="A",0,Q20*Assumptions!$C$105/12*Assumptions!$F$196)</f>
        <v>0.0131578984031166</v>
      </c>
      <c r="S35" s="68" t="n">
        <f aca="false">IF(S$5="A",0,R20*Assumptions!$C$105/12*Assumptions!$F$196)</f>
        <v>0.0131578946096473</v>
      </c>
      <c r="T35" s="68" t="n">
        <f aca="false">IF(T$5="A",0,S20*Assumptions!$C$105/12*Assumptions!$F$196)</f>
        <v>0.0131578947132482</v>
      </c>
      <c r="U35" s="68" t="n">
        <f aca="false">IF(U$5="A",0,T20*Assumptions!$C$105/12*Assumptions!$F$196)</f>
        <v>0.0131578947378474</v>
      </c>
      <c r="V35" s="68" t="n">
        <f aca="false">IF(V$5="A",0,U20*Assumptions!$C$105/12*Assumptions!$F$196)</f>
        <v>0.0131578947369927</v>
      </c>
      <c r="W35" s="68" t="n">
        <f aca="false">IF(W$5="A",0,V20*Assumptions!$C$105/12*Assumptions!$F$196)</f>
        <v>0.0131578947368344</v>
      </c>
      <c r="X35" s="68" t="n">
        <f aca="false">IF(X$5="A",0,W20*Assumptions!$C$105/12*Assumptions!$F$196)</f>
        <v>0.0131578947368412</v>
      </c>
      <c r="Y35" s="68" t="n">
        <f aca="false">IF(Y$5="A",0,X20*Assumptions!$C$105/12*Assumptions!$F$196)</f>
        <v>0.0131578947368422</v>
      </c>
      <c r="Z35" s="68" t="n">
        <f aca="false">IF(Z$5="A",0,Y20*Assumptions!$C$105/12*Assumptions!$F$196)</f>
        <v>0.0131578947368421</v>
      </c>
      <c r="AA35" s="68" t="n">
        <f aca="false">IF(AA$5="A",0,Z20*Assumptions!$C$105/12*Assumptions!$F$196)</f>
        <v>0.0131578947368421</v>
      </c>
      <c r="AB35" s="68" t="n">
        <f aca="false">IF(AB$5="A",0,AA20*Assumptions!$C$105/12*Assumptions!$F$196)</f>
        <v>0.0131578947368421</v>
      </c>
    </row>
    <row r="36" customFormat="false" ht="15" hidden="false" customHeight="false" outlineLevel="0" collapsed="false">
      <c r="A36" s="28" t="s">
        <v>1115</v>
      </c>
      <c r="B36" s="62" t="s">
        <v>1118</v>
      </c>
      <c r="C36" s="67" t="n">
        <f aca="false">SUM(E36:P36)</f>
        <v>0.158673765925926</v>
      </c>
      <c r="D36" s="67" t="n">
        <f aca="false">SUM(Q36:AB36)</f>
        <v>0.506708850044289</v>
      </c>
      <c r="E36" s="68" t="n">
        <f aca="false">IF(E$5="A",0,Assumptions!$F$100*Assumptions!$C$105/12*Assumptions!$F$196)</f>
        <v>0</v>
      </c>
      <c r="F36" s="68" t="n">
        <f aca="false">IF(F$5="A",0,E21*Assumptions!$C$105/12*Assumptions!$F$196)</f>
        <v>0</v>
      </c>
      <c r="G36" s="68" t="n">
        <f aca="false">IF(G$5="A",0,F21*Assumptions!$C$105/12*Assumptions!$F$196)</f>
        <v>0</v>
      </c>
      <c r="H36" s="68" t="n">
        <f aca="false">IF(H$5="A",0,G21*Assumptions!$C$105/12*Assumptions!$F$196)</f>
        <v>0</v>
      </c>
      <c r="I36" s="68" t="n">
        <f aca="false">IF(I$5="A",0,H21*Assumptions!$C$105/12*Assumptions!$F$196)</f>
        <v>0</v>
      </c>
      <c r="J36" s="68" t="n">
        <f aca="false">IF(J$5="A",0,I21*Assumptions!$C$105/12*Assumptions!$F$196)</f>
        <v>0</v>
      </c>
      <c r="K36" s="68" t="n">
        <f aca="false">IF(K$5="A",0,J21*Assumptions!$C$105/12*Assumptions!$F$196)</f>
        <v>0</v>
      </c>
      <c r="L36" s="68" t="n">
        <f aca="false">IF(L$5="A",0,K21*Assumptions!$C$105/12*Assumptions!$F$196)</f>
        <v>0</v>
      </c>
      <c r="M36" s="68" t="n">
        <f aca="false">IF(M$5="A",0,L21*Assumptions!$C$105/12*Assumptions!$F$196)</f>
        <v>0.04</v>
      </c>
      <c r="N36" s="68" t="n">
        <f aca="false">IF(N$5="A",0,M21*Assumptions!$C$105/12*Assumptions!$F$196)</f>
        <v>0.0397333333333333</v>
      </c>
      <c r="O36" s="68" t="n">
        <f aca="false">IF(O$5="A",0,N21*Assumptions!$C$105/12*Assumptions!$F$196)</f>
        <v>0.0394684444444444</v>
      </c>
      <c r="P36" s="68" t="n">
        <f aca="false">IF(P$5="A",0,O21*Assumptions!$C$105/12*Assumptions!$F$196)</f>
        <v>0.0394719881481482</v>
      </c>
      <c r="Q36" s="68" t="n">
        <f aca="false">IF(Q$5="A",0,P21*Assumptions!$C$105/12*Assumptions!$F$196)</f>
        <v>0.0394737304493827</v>
      </c>
      <c r="R36" s="68" t="n">
        <f aca="false">IF(R$5="A",0,Q21*Assumptions!$C$105/12*Assumptions!$F$196)</f>
        <v>0.0394736952093498</v>
      </c>
      <c r="S36" s="68" t="n">
        <f aca="false">IF(S$5="A",0,R21*Assumptions!$C$105/12*Assumptions!$F$196)</f>
        <v>0.0394736838289418</v>
      </c>
      <c r="T36" s="68" t="n">
        <f aca="false">IF(T$5="A",0,S21*Assumptions!$C$105/12*Assumptions!$F$196)</f>
        <v>0.0394736841397447</v>
      </c>
      <c r="U36" s="68" t="n">
        <f aca="false">IF(U$5="A",0,T21*Assumptions!$C$105/12*Assumptions!$F$196)</f>
        <v>0.0394736842135421</v>
      </c>
      <c r="V36" s="68" t="n">
        <f aca="false">IF(V$5="A",0,U21*Assumptions!$C$105/12*Assumptions!$F$196)</f>
        <v>0.0394736842109781</v>
      </c>
      <c r="W36" s="68" t="n">
        <f aca="false">IF(W$5="A",0,V21*Assumptions!$C$105/12*Assumptions!$F$196)</f>
        <v>0.0394736842105032</v>
      </c>
      <c r="X36" s="68" t="n">
        <f aca="false">IF(X$5="A",0,W21*Assumptions!$C$105/12*Assumptions!$F$196)</f>
        <v>0.0461403508771901</v>
      </c>
      <c r="Y36" s="68" t="n">
        <f aca="false">IF(Y$5="A",0,X21*Assumptions!$C$105/12*Assumptions!$F$196)</f>
        <v>0.0460959064327487</v>
      </c>
      <c r="Z36" s="68" t="n">
        <f aca="false">IF(Z$5="A",0,Y21*Assumptions!$C$105/12*Assumptions!$F$196)</f>
        <v>0.0460517582846004</v>
      </c>
      <c r="AA36" s="68" t="n">
        <f aca="false">IF(AA$5="A",0,Z21*Assumptions!$C$105/12*Assumptions!$F$196)</f>
        <v>0.0460523489018843</v>
      </c>
      <c r="AB36" s="68" t="n">
        <f aca="false">IF(AB$5="A",0,AA21*Assumptions!$C$105/12*Assumptions!$F$196)</f>
        <v>0.0460526392854234</v>
      </c>
    </row>
    <row r="37" customFormat="false" ht="15" hidden="false" customHeight="false" outlineLevel="0" collapsed="false">
      <c r="A37" s="28" t="s">
        <v>1119</v>
      </c>
      <c r="B37" s="62"/>
      <c r="C37" s="67" t="n">
        <f aca="false">SUM(E37:P37)</f>
        <v>4.59735277777778</v>
      </c>
      <c r="D37" s="67" t="n">
        <f aca="false">SUM(Q37:AB37)</f>
        <v>22.7429648059551</v>
      </c>
      <c r="E37" s="80" t="n">
        <f aca="false">IF(E$5="A",0,0)</f>
        <v>0</v>
      </c>
      <c r="F37" s="80" t="n">
        <f aca="false">IF(F$5="A",0,0)</f>
        <v>0</v>
      </c>
      <c r="G37" s="68" t="n">
        <f aca="false">IF(G$5="A",0,0+IF(E$5="F",E24,0)*Assumptions!$F$195+IF(E$5="F",E25,0)*Assumptions!$F$195+IF(E$5="F",E26,0)*Assumptions!$F$195+IF(E$5="F",E27,0)*Assumptions!$F$195+IF(E$5="F",E28,0)*Assumptions!$F$195+IF(E$5="F",E29,0)*Assumptions!$F$195+IF(E$5="F",E30,0)*Assumptions!$F$195+IF(E$5="F",E31,0)*Assumptions!$F$195+IF(E$5="F",E32,0)*Assumptions!$F$195+IF(E$5="F",E33,0)*Assumptions!$F$195+IF(E$5="F",E34,0)*Assumptions!$F$195+IF(E$5="F",E35,0)*Assumptions!$F$195+IF(E$5="F",E36,0)*Assumptions!$F$195)</f>
        <v>0</v>
      </c>
      <c r="H37" s="68" t="n">
        <f aca="false">IF(H$5="A",0,0+IF(F$5="F",F24,0)*Assumptions!$F$195+IF(F$5="F",F25,0)*Assumptions!$F$195+IF(F$5="F",F26,0)*Assumptions!$F$195+IF(F$5="F",F27,0)*Assumptions!$F$195+IF(F$5="F",F28,0)*Assumptions!$F$195+IF(F$5="F",F29,0)*Assumptions!$F$195+IF(F$5="F",F30,0)*Assumptions!$F$195+IF(F$5="F",F31,0)*Assumptions!$F$195+IF(F$5="F",F32,0)*Assumptions!$F$195+IF(F$5="F",F33,0)*Assumptions!$F$195+IF(F$5="F",F34,0)*Assumptions!$F$195+IF(F$5="F",F35,0)*Assumptions!$F$195+IF(F$5="F",F36,0)*Assumptions!$F$195)</f>
        <v>0</v>
      </c>
      <c r="I37" s="68" t="n">
        <f aca="false">IF(I$5="A",0,0+IF(G$5="F",G24,0)*Assumptions!$F$195+IF(G$5="F",G25,0)*Assumptions!$F$195+IF(G$5="F",G26,0)*Assumptions!$F$195+IF(G$5="F",G27,0)*Assumptions!$F$195+IF(G$5="F",G28,0)*Assumptions!$F$195+IF(G$5="F",G29,0)*Assumptions!$F$195+IF(G$5="F",G30,0)*Assumptions!$F$195+IF(G$5="F",G31,0)*Assumptions!$F$195+IF(G$5="F",G32,0)*Assumptions!$F$195+IF(G$5="F",G33,0)*Assumptions!$F$195+IF(G$5="F",G34,0)*Assumptions!$F$195+IF(G$5="F",G35,0)*Assumptions!$F$195+IF(G$5="F",G36,0)*Assumptions!$F$195)</f>
        <v>0</v>
      </c>
      <c r="J37" s="68" t="n">
        <f aca="false">IF(J$5="A",0,0+IF(H$5="F",H24,0)*Assumptions!$F$195+IF(H$5="F",H25,0)*Assumptions!$F$195+IF(H$5="F",H26,0)*Assumptions!$F$195+IF(H$5="F",H27,0)*Assumptions!$F$195+IF(H$5="F",H28,0)*Assumptions!$F$195+IF(H$5="F",H29,0)*Assumptions!$F$195+IF(H$5="F",H30,0)*Assumptions!$F$195+IF(H$5="F",H31,0)*Assumptions!$F$195+IF(H$5="F",H32,0)*Assumptions!$F$195+IF(H$5="F",H33,0)*Assumptions!$F$195+IF(H$5="F",H34,0)*Assumptions!$F$195+IF(H$5="F",H35,0)*Assumptions!$F$195+IF(H$5="F",H36,0)*Assumptions!$F$195)</f>
        <v>0</v>
      </c>
      <c r="K37" s="68" t="n">
        <f aca="false">IF(K$5="A",0,0+IF(I$5="F",I24,0)*Assumptions!$F$195+IF(I$5="F",I25,0)*Assumptions!$F$195+IF(I$5="F",I26,0)*Assumptions!$F$195+IF(I$5="F",I27,0)*Assumptions!$F$195+IF(I$5="F",I28,0)*Assumptions!$F$195+IF(I$5="F",I29,0)*Assumptions!$F$195+IF(I$5="F",I30,0)*Assumptions!$F$195+IF(I$5="F",I31,0)*Assumptions!$F$195+IF(I$5="F",I32,0)*Assumptions!$F$195+IF(I$5="F",I33,0)*Assumptions!$F$195+IF(I$5="F",I34,0)*Assumptions!$F$195+IF(I$5="F",I35,0)*Assumptions!$F$195+IF(I$5="F",I36,0)*Assumptions!$F$195)</f>
        <v>0</v>
      </c>
      <c r="L37" s="68" t="n">
        <f aca="false">IF(L$5="A",0,0+IF(J$5="F",J24,0)*Assumptions!$F$195+IF(J$5="F",J25,0)*Assumptions!$F$195+IF(J$5="F",J26,0)*Assumptions!$F$195+IF(J$5="F",J27,0)*Assumptions!$F$195+IF(J$5="F",J28,0)*Assumptions!$F$195+IF(J$5="F",J29,0)*Assumptions!$F$195+IF(J$5="F",J30,0)*Assumptions!$F$195+IF(J$5="F",J31,0)*Assumptions!$F$195+IF(J$5="F",J32,0)*Assumptions!$F$195+IF(J$5="F",J33,0)*Assumptions!$F$195+IF(J$5="F",J34,0)*Assumptions!$F$195+IF(J$5="F",J35,0)*Assumptions!$F$195+IF(J$5="F",J36,0)*Assumptions!$F$195)</f>
        <v>0</v>
      </c>
      <c r="M37" s="68" t="n">
        <f aca="false">IF(M$5="A",0,0+IF(K$5="F",K24,0)*Assumptions!$F$195+IF(K$5="F",K25,0)*Assumptions!$F$195+IF(K$5="F",K26,0)*Assumptions!$F$195+IF(K$5="F",K27,0)*Assumptions!$F$195+IF(K$5="F",K28,0)*Assumptions!$F$195+IF(K$5="F",K29,0)*Assumptions!$F$195+IF(K$5="F",K30,0)*Assumptions!$F$195+IF(K$5="F",K31,0)*Assumptions!$F$195+IF(K$5="F",K32,0)*Assumptions!$F$195+IF(K$5="F",K33,0)*Assumptions!$F$195+IF(K$5="F",K34,0)*Assumptions!$F$195+IF(K$5="F",K35,0)*Assumptions!$F$195+IF(K$5="F",K36,0)*Assumptions!$F$195)</f>
        <v>0</v>
      </c>
      <c r="N37" s="68" t="n">
        <f aca="false">IF(N$5="A",0,1*Assumptions!$F$194+1*Assumptions!$F$194+IF(L$5="F",L24,0)*Assumptions!$F$195+IF(L$5="F",L25,0)*Assumptions!$F$195+IF(L$5="F",L26,0)*Assumptions!$F$195+IF(L$5="F",L27,0)*Assumptions!$F$195+IF(L$5="F",L28,0)*Assumptions!$F$195+IF(L$5="F",L29,0)*Assumptions!$F$195+IF(L$5="F",L30,0)*Assumptions!$F$195+IF(L$5="F",L31,0)*Assumptions!$F$195+IF(L$5="F",L32,0)*Assumptions!$F$195+IF(L$5="F",L33,0)*Assumptions!$F$195+IF(L$5="F",L34,0)*Assumptions!$F$195+IF(L$5="F",L35,0)*Assumptions!$F$195+IF(L$5="F",L36,0)*Assumptions!$F$195)</f>
        <v>2</v>
      </c>
      <c r="O37" s="68" t="n">
        <f aca="false">IF(O$5="A",0,1*Assumptions!$F$194+IF(M$5="F",M24,0)*Assumptions!$F$195+IF(M$5="F",M25,0)*Assumptions!$F$195+IF(M$5="F",M26,0)*Assumptions!$F$195+IF(M$5="F",M27,0)*Assumptions!$F$195+IF(M$5="F",M28,0)*Assumptions!$F$195+IF(M$5="F",M29,0)*Assumptions!$F$195+IF(M$5="F",M30,0)*Assumptions!$F$195+IF(M$5="F",M31,0)*Assumptions!$F$195+IF(M$5="F",M32,0)*Assumptions!$F$195+IF(M$5="F",M33,0)*Assumptions!$F$195+IF(M$5="F",M34,0)*Assumptions!$F$195+IF(M$5="F",M35,0)*Assumptions!$F$195+IF(M$5="F",M36,0)*Assumptions!$F$195)</f>
        <v>1.80333333333333</v>
      </c>
      <c r="P37" s="68" t="n">
        <f aca="false">IF(P$5="A",0,0+IF(N$5="F",N24,0)*Assumptions!$F$195+IF(N$5="F",N25,0)*Assumptions!$F$195+IF(N$5="F",N26,0)*Assumptions!$F$195+IF(N$5="F",N27,0)*Assumptions!$F$195+IF(N$5="F",N28,0)*Assumptions!$F$195+IF(N$5="F",N29,0)*Assumptions!$F$195+IF(N$5="F",N30,0)*Assumptions!$F$195+IF(N$5="F",N31,0)*Assumptions!$F$195+IF(N$5="F",N32,0)*Assumptions!$F$195+IF(N$5="F",N33,0)*Assumptions!$F$195+IF(N$5="F",N34,0)*Assumptions!$F$195+IF(N$5="F",N35,0)*Assumptions!$F$195+IF(N$5="F",N36,0)*Assumptions!$F$195)</f>
        <v>0.794019444444444</v>
      </c>
      <c r="Q37" s="68" t="n">
        <f aca="false">IF(Q$5="A",0,1*Assumptions!$F$194+2*Assumptions!$F$194+1*Assumptions!$F$194+1*Assumptions!$F$194+IF(O$5="F",O24,0)*Assumptions!$F$195+IF(O$5="F",O25,0)*Assumptions!$F$195+IF(O$5="F",O26,0)*Assumptions!$F$195+IF(O$5="F",O27,0)*Assumptions!$F$195+IF(O$5="F",O28,0)*Assumptions!$F$195+IF(O$5="F",O29,0)*Assumptions!$F$195+IF(O$5="F",O30,0)*Assumptions!$F$195+IF(O$5="F",O31,0)*Assumptions!$F$195+IF(O$5="F",O32,0)*Assumptions!$F$195+IF(O$5="F",O33,0)*Assumptions!$F$195+IF(O$5="F",O34,0)*Assumptions!$F$195+IF(O$5="F",O35,0)*Assumptions!$F$195+IF(O$5="F",O36,0)*Assumptions!$F$195)</f>
        <v>5.80565844675926</v>
      </c>
      <c r="R37" s="68" t="n">
        <f aca="false">IF(R$5="A",0,1*Assumptions!$F$194+IF(P$5="F",P24,0)*Assumptions!$F$195+IF(P$5="F",P25,0)*Assumptions!$F$195+IF(P$5="F",P26,0)*Assumptions!$F$195+IF(P$5="F",P27,0)*Assumptions!$F$195+IF(P$5="F",P28,0)*Assumptions!$F$195+IF(P$5="F",P29,0)*Assumptions!$F$195+IF(P$5="F",P30,0)*Assumptions!$F$195+IF(P$5="F",P31,0)*Assumptions!$F$195+IF(P$5="F",P32,0)*Assumptions!$F$195+IF(P$5="F",P33,0)*Assumptions!$F$195+IF(P$5="F",P34,0)*Assumptions!$F$195+IF(P$5="F",P35,0)*Assumptions!$F$195+IF(P$5="F",P36,0)*Assumptions!$F$195)</f>
        <v>1.8223368659973</v>
      </c>
      <c r="S37" s="68" t="n">
        <f aca="false">IF(S$5="A",0,1*Assumptions!$F$194+IF(Q$5="F",Q24,0)*Assumptions!$F$195+IF(Q$5="F",Q25,0)*Assumptions!$F$195+IF(Q$5="F",Q26,0)*Assumptions!$F$195+IF(Q$5="F",Q27,0)*Assumptions!$F$195+IF(Q$5="F",Q28,0)*Assumptions!$F$195+IF(Q$5="F",Q29,0)*Assumptions!$F$195+IF(Q$5="F",Q30,0)*Assumptions!$F$195+IF(Q$5="F",Q31,0)*Assumptions!$F$195+IF(Q$5="F",Q32,0)*Assumptions!$F$195+IF(Q$5="F",Q33,0)*Assumptions!$F$195+IF(Q$5="F",Q34,0)*Assumptions!$F$195+IF(Q$5="F",Q35,0)*Assumptions!$F$195+IF(Q$5="F",Q36,0)*Assumptions!$F$195)</f>
        <v>1.82195050204485</v>
      </c>
      <c r="T37" s="68" t="n">
        <f aca="false">IF(T$5="A",0,1*Assumptions!$F$194+1*Assumptions!$F$194+IF(R$5="F",R24,0)*Assumptions!$F$195+IF(R$5="F",R25,0)*Assumptions!$F$195+IF(R$5="F",R26,0)*Assumptions!$F$195+IF(R$5="F",R27,0)*Assumptions!$F$195+IF(R$5="F",R28,0)*Assumptions!$F$195+IF(R$5="F",R29,0)*Assumptions!$F$195+IF(R$5="F",R30,0)*Assumptions!$F$195+IF(R$5="F",R31,0)*Assumptions!$F$195+IF(R$5="F",R32,0)*Assumptions!$F$195+IF(R$5="F",R33,0)*Assumptions!$F$195+IF(R$5="F",R34,0)*Assumptions!$F$195+IF(R$5="F",R35,0)*Assumptions!$F$195+IF(R$5="F",R36,0)*Assumptions!$F$195)</f>
        <v>2.87584414740924</v>
      </c>
      <c r="U37" s="68" t="n">
        <f aca="false">IF(U$5="A",0,0+IF(S$5="F",S24,0)*Assumptions!$F$195+IF(S$5="F",S25,0)*Assumptions!$F$195+IF(S$5="F",S26,0)*Assumptions!$F$195+IF(S$5="F",S27,0)*Assumptions!$F$195+IF(S$5="F",S28,0)*Assumptions!$F$195+IF(S$5="F",S29,0)*Assumptions!$F$195+IF(S$5="F",S30,0)*Assumptions!$F$195+IF(S$5="F",S31,0)*Assumptions!$F$195+IF(S$5="F",S32,0)*Assumptions!$F$195+IF(S$5="F",S33,0)*Assumptions!$F$195+IF(S$5="F",S34,0)*Assumptions!$F$195+IF(S$5="F",S35,0)*Assumptions!$F$195+IF(S$5="F",S36,0)*Assumptions!$F$195)</f>
        <v>0.891878557371558</v>
      </c>
      <c r="V37" s="68" t="n">
        <f aca="false">IF(V$5="A",0,1*Assumptions!$F$194+IF(T$5="F",T24,0)*Assumptions!$F$195+IF(T$5="F",T25,0)*Assumptions!$F$195+IF(T$5="F",T26,0)*Assumptions!$F$195+IF(T$5="F",T27,0)*Assumptions!$F$195+IF(T$5="F",T28,0)*Assumptions!$F$195+IF(T$5="F",T29,0)*Assumptions!$F$195+IF(T$5="F",T30,0)*Assumptions!$F$195+IF(T$5="F",T31,0)*Assumptions!$F$195+IF(T$5="F",T32,0)*Assumptions!$F$195+IF(T$5="F",T33,0)*Assumptions!$F$195+IF(T$5="F",T34,0)*Assumptions!$F$195+IF(T$5="F",T35,0)*Assumptions!$F$195+IF(T$5="F",T36,0)*Assumptions!$F$195)</f>
        <v>1.89930447898105</v>
      </c>
      <c r="W37" s="68" t="n">
        <f aca="false">IF(W$5="A",0,1*Assumptions!$F$194+IF(U$5="F",U24,0)*Assumptions!$F$195+IF(U$5="F",U25,0)*Assumptions!$F$195+IF(U$5="F",U26,0)*Assumptions!$F$195+IF(U$5="F",U27,0)*Assumptions!$F$195+IF(U$5="F",U28,0)*Assumptions!$F$195+IF(U$5="F",U29,0)*Assumptions!$F$195+IF(U$5="F",U30,0)*Assumptions!$F$195+IF(U$5="F",U31,0)*Assumptions!$F$195+IF(U$5="F",U32,0)*Assumptions!$F$195+IF(U$5="F",U33,0)*Assumptions!$F$195+IF(U$5="F",U34,0)*Assumptions!$F$195+IF(U$5="F",U35,0)*Assumptions!$F$195+IF(U$5="F",U36,0)*Assumptions!$F$195)</f>
        <v>1.92814484221558</v>
      </c>
      <c r="X37" s="68" t="n">
        <f aca="false">IF(X$5="A",0,0+IF(V$5="F",V24,0)*Assumptions!$F$195+IF(V$5="F",V25,0)*Assumptions!$F$195+IF(V$5="F",V26,0)*Assumptions!$F$195+IF(V$5="F",V27,0)*Assumptions!$F$195+IF(V$5="F",V28,0)*Assumptions!$F$195+IF(V$5="F",V29,0)*Assumptions!$F$195+IF(V$5="F",V30,0)*Assumptions!$F$195+IF(V$5="F",V31,0)*Assumptions!$F$195+IF(V$5="F",V32,0)*Assumptions!$F$195+IF(V$5="F",V33,0)*Assumptions!$F$195+IF(V$5="F",V34,0)*Assumptions!$F$195+IF(V$5="F",V35,0)*Assumptions!$F$195+IF(V$5="F",V36,0)*Assumptions!$F$195)</f>
        <v>0.927659033244653</v>
      </c>
      <c r="Y37" s="68" t="n">
        <f aca="false">IF(Y$5="A",0,1*Assumptions!$F$194+IF(W$5="F",W24,0)*Assumptions!$F$195+IF(W$5="F",W25,0)*Assumptions!$F$195+IF(W$5="F",W26,0)*Assumptions!$F$195+IF(W$5="F",W27,0)*Assumptions!$F$195+IF(W$5="F",W28,0)*Assumptions!$F$195+IF(W$5="F",W29,0)*Assumptions!$F$195+IF(W$5="F",W30,0)*Assumptions!$F$195+IF(W$5="F",W31,0)*Assumptions!$F$195+IF(W$5="F",W32,0)*Assumptions!$F$195+IF(W$5="F",W33,0)*Assumptions!$F$195+IF(W$5="F",W34,0)*Assumptions!$F$195+IF(W$5="F",W35,0)*Assumptions!$F$195+IF(W$5="F",W36,0)*Assumptions!$F$195)</f>
        <v>1.93557013720999</v>
      </c>
      <c r="Z37" s="68" t="n">
        <f aca="false">IF(Z$5="A",0,0+IF(X$5="F",X24,0)*Assumptions!$F$195+IF(X$5="F",X25,0)*Assumptions!$F$195+IF(X$5="F",X26,0)*Assumptions!$F$195+IF(X$5="F",X27,0)*Assumptions!$F$195+IF(X$5="F",X28,0)*Assumptions!$F$195+IF(X$5="F",X29,0)*Assumptions!$F$195+IF(X$5="F",X30,0)*Assumptions!$F$195+IF(X$5="F",X31,0)*Assumptions!$F$195+IF(X$5="F",X32,0)*Assumptions!$F$195+IF(X$5="F",X33,0)*Assumptions!$F$195+IF(X$5="F",X34,0)*Assumptions!$F$195+IF(X$5="F",X35,0)*Assumptions!$F$195+IF(X$5="F",X36,0)*Assumptions!$F$195)</f>
        <v>0.942180656472046</v>
      </c>
      <c r="AA37" s="68" t="n">
        <f aca="false">IF(AA$5="A",0,0+IF(Y$5="F",Y24,0)*Assumptions!$F$195+IF(Y$5="F",Y25,0)*Assumptions!$F$195+IF(Y$5="F",Y26,0)*Assumptions!$F$195+IF(Y$5="F",Y27,0)*Assumptions!$F$195+IF(Y$5="F",Y28,0)*Assumptions!$F$195+IF(Y$5="F",Y29,0)*Assumptions!$F$195+IF(Y$5="F",Y30,0)*Assumptions!$F$195+IF(Y$5="F",Y31,0)*Assumptions!$F$195+IF(Y$5="F",Y32,0)*Assumptions!$F$195+IF(Y$5="F",Y33,0)*Assumptions!$F$195+IF(Y$5="F",Y34,0)*Assumptions!$F$195+IF(Y$5="F",Y35,0)*Assumptions!$F$195+IF(Y$5="F",Y36,0)*Assumptions!$F$195)</f>
        <v>0.942073548538061</v>
      </c>
      <c r="AB37" s="68" t="n">
        <f aca="false">IF(AB$5="A",0,0+IF(Z$5="F",Z24,0)*Assumptions!$F$195+IF(Z$5="F",Z25,0)*Assumptions!$F$195+IF(Z$5="F",Z26,0)*Assumptions!$F$195+IF(Z$5="F",Z27,0)*Assumptions!$F$195+IF(Z$5="F",Z28,0)*Assumptions!$F$195+IF(Z$5="F",Z29,0)*Assumptions!$F$195+IF(Z$5="F",Z30,0)*Assumptions!$F$195+IF(Z$5="F",Z31,0)*Assumptions!$F$195+IF(Z$5="F",Z32,0)*Assumptions!$F$195+IF(Z$5="F",Z33,0)*Assumptions!$F$195+IF(Z$5="F",Z34,0)*Assumptions!$F$195+IF(Z$5="F",Z35,0)*Assumptions!$F$195+IF(Z$5="F",Z36,0)*Assumptions!$F$195)</f>
        <v>0.950363589711477</v>
      </c>
    </row>
    <row r="38" customFormat="false" ht="15" hidden="false" customHeight="false" outlineLevel="0" collapsed="false">
      <c r="A38" s="28" t="s">
        <v>1120</v>
      </c>
      <c r="B38" s="62"/>
      <c r="C38" s="67" t="n">
        <f aca="false">SUM(E38:P38)</f>
        <v>3</v>
      </c>
      <c r="D38" s="67" t="n">
        <f aca="false">SUM(Q38:AB38)</f>
        <v>12</v>
      </c>
      <c r="E38" s="80" t="n">
        <f aca="false">IF(E$5="A",0,0)</f>
        <v>0</v>
      </c>
      <c r="F38" s="80" t="n">
        <f aca="false">IF(F$5="A",0,0)</f>
        <v>0</v>
      </c>
      <c r="G38" s="80" t="n">
        <f aca="false">IF(G$5="A",0,0)</f>
        <v>0</v>
      </c>
      <c r="H38" s="80" t="n">
        <f aca="false">IF(H$5="A",0,0)</f>
        <v>0</v>
      </c>
      <c r="I38" s="80" t="n">
        <f aca="false">IF(I$5="A",0,0)</f>
        <v>0</v>
      </c>
      <c r="J38" s="80" t="n">
        <f aca="false">IF(J$5="A",0,0)</f>
        <v>0</v>
      </c>
      <c r="K38" s="80" t="n">
        <f aca="false">IF(K$5="A",0,0)</f>
        <v>0</v>
      </c>
      <c r="L38" s="80" t="n">
        <f aca="false">IF(L$5="A",0,0)</f>
        <v>0</v>
      </c>
      <c r="M38" s="80" t="n">
        <f aca="false">IF(M$5="A",0,0)</f>
        <v>0</v>
      </c>
      <c r="N38" s="68" t="n">
        <f aca="false">IF(N$5="A",0,1*Assumptions!$F$194+1*Assumptions!$F$194)</f>
        <v>2</v>
      </c>
      <c r="O38" s="68" t="n">
        <f aca="false">IF(O$5="A",0,1*Assumptions!$F$194)</f>
        <v>1</v>
      </c>
      <c r="P38" s="80" t="n">
        <f aca="false">IF(P$5="A",0,0)</f>
        <v>0</v>
      </c>
      <c r="Q38" s="68" t="n">
        <f aca="false">IF(Q$5="A",0,1*Assumptions!$F$194+2*Assumptions!$F$194+1*Assumptions!$F$194+1*Assumptions!$F$194)</f>
        <v>5</v>
      </c>
      <c r="R38" s="68" t="n">
        <f aca="false">IF(R$5="A",0,1*Assumptions!$F$194)</f>
        <v>1</v>
      </c>
      <c r="S38" s="68" t="n">
        <f aca="false">IF(S$5="A",0,1*Assumptions!$F$194)</f>
        <v>1</v>
      </c>
      <c r="T38" s="68" t="n">
        <f aca="false">IF(T$5="A",0,1*Assumptions!$F$194+1*Assumptions!$F$194)</f>
        <v>2</v>
      </c>
      <c r="U38" s="80" t="n">
        <f aca="false">IF(U$5="A",0,0)</f>
        <v>0</v>
      </c>
      <c r="V38" s="68" t="n">
        <f aca="false">IF(V$5="A",0,1*Assumptions!$F$194)</f>
        <v>1</v>
      </c>
      <c r="W38" s="68" t="n">
        <f aca="false">IF(W$5="A",0,1*Assumptions!$F$194)</f>
        <v>1</v>
      </c>
      <c r="X38" s="80" t="n">
        <f aca="false">IF(X$5="A",0,0)</f>
        <v>0</v>
      </c>
      <c r="Y38" s="68" t="n">
        <f aca="false">IF(Y$5="A",0,1*Assumptions!$F$194)</f>
        <v>1</v>
      </c>
      <c r="Z38" s="80" t="n">
        <f aca="false">IF(Z$5="A",0,0)</f>
        <v>0</v>
      </c>
      <c r="AA38" s="80" t="n">
        <f aca="false">IF(AA$5="A",0,0)</f>
        <v>0</v>
      </c>
      <c r="AB38" s="80" t="n">
        <f aca="false">IF(AB$5="A",0,0)</f>
        <v>0</v>
      </c>
    </row>
    <row r="39" customFormat="false" ht="15" hidden="false" customHeight="false" outlineLevel="0" collapsed="false">
      <c r="A39" s="28" t="s">
        <v>1121</v>
      </c>
      <c r="B39" s="62"/>
      <c r="C39" s="67" t="n">
        <f aca="false">SUM(E39:P39)</f>
        <v>14.5973527777778</v>
      </c>
      <c r="D39" s="67" t="n">
        <f aca="false">SUM(Q39:AB39)</f>
        <v>22.7429648059551</v>
      </c>
      <c r="E39" s="68" t="n">
        <f aca="false">IF(E$5="A",MAX(0,Inputs_Actuals!E127-Assumptions!$F$88)+MAX(0,Inputs_Actuals!E128-Assumptions!$F$89)+MAX(0,Inputs_Actuals!E129-Assumptions!$F$90)+MAX(0,Inputs_Actuals!E130-Assumptions!$F$91)+MAX(0,Inputs_Actuals!E131-Assumptions!$F$92)+MAX(0,Inputs_Actuals!E132-Assumptions!$F$93)+MAX(0,Inputs_Actuals!E133-Assumptions!$F$94)+MAX(0,Inputs_Actuals!E134-Assumptions!$F$95)+MAX(0,Inputs_Actuals!E135-Assumptions!$F$96)+MAX(0,Inputs_Actuals!E136-Assumptions!$F$97)+MAX(0,Inputs_Actuals!E137-Assumptions!$F$98)+MAX(0,Inputs_Actuals!E138-Assumptions!$F$99)+MAX(0,Inputs_Actuals!E139-Assumptions!$F$100),E37)</f>
        <v>1</v>
      </c>
      <c r="F39" s="68" t="n">
        <f aca="false">IF(F$5="A",MAX(0,Inputs_Actuals!F127-E9)+MAX(0,Inputs_Actuals!F128-E10)+MAX(0,Inputs_Actuals!F129-E11)+MAX(0,Inputs_Actuals!F130-E12)+MAX(0,Inputs_Actuals!F131-E13)+MAX(0,Inputs_Actuals!F132-E14)+MAX(0,Inputs_Actuals!F133-E15)+MAX(0,Inputs_Actuals!F134-E16)+MAX(0,Inputs_Actuals!F135-E17)+MAX(0,Inputs_Actuals!F136-E18)+MAX(0,Inputs_Actuals!F137-E19)+MAX(0,Inputs_Actuals!F138-E20)+MAX(0,Inputs_Actuals!F139-E21),F37)</f>
        <v>2</v>
      </c>
      <c r="G39" s="68" t="n">
        <f aca="false">IF(G$5="A",MAX(0,Inputs_Actuals!G127-F9)+MAX(0,Inputs_Actuals!G128-F10)+MAX(0,Inputs_Actuals!G129-F11)+MAX(0,Inputs_Actuals!G130-F12)+MAX(0,Inputs_Actuals!G131-F13)+MAX(0,Inputs_Actuals!G132-F14)+MAX(0,Inputs_Actuals!G133-F15)+MAX(0,Inputs_Actuals!G134-F16)+MAX(0,Inputs_Actuals!G135-F17)+MAX(0,Inputs_Actuals!G136-F18)+MAX(0,Inputs_Actuals!G137-F19)+MAX(0,Inputs_Actuals!G138-F20)+MAX(0,Inputs_Actuals!G139-F21),G37)</f>
        <v>3</v>
      </c>
      <c r="H39" s="68" t="n">
        <f aca="false">IF(H$5="A",MAX(0,Inputs_Actuals!H127-G9)+MAX(0,Inputs_Actuals!H128-G10)+MAX(0,Inputs_Actuals!H129-G11)+MAX(0,Inputs_Actuals!H130-G12)+MAX(0,Inputs_Actuals!H131-G13)+MAX(0,Inputs_Actuals!H132-G14)+MAX(0,Inputs_Actuals!H133-G15)+MAX(0,Inputs_Actuals!H134-G16)+MAX(0,Inputs_Actuals!H135-G17)+MAX(0,Inputs_Actuals!H136-G18)+MAX(0,Inputs_Actuals!H137-G19)+MAX(0,Inputs_Actuals!H138-G20)+MAX(0,Inputs_Actuals!H139-G21),H37)</f>
        <v>2</v>
      </c>
      <c r="I39" s="68" t="n">
        <f aca="false">IF(I$5="A",MAX(0,Inputs_Actuals!I127-H9)+MAX(0,Inputs_Actuals!I128-H10)+MAX(0,Inputs_Actuals!I129-H11)+MAX(0,Inputs_Actuals!I130-H12)+MAX(0,Inputs_Actuals!I131-H13)+MAX(0,Inputs_Actuals!I132-H14)+MAX(0,Inputs_Actuals!I133-H15)+MAX(0,Inputs_Actuals!I134-H16)+MAX(0,Inputs_Actuals!I135-H17)+MAX(0,Inputs_Actuals!I136-H18)+MAX(0,Inputs_Actuals!I137-H19)+MAX(0,Inputs_Actuals!I138-H20)+MAX(0,Inputs_Actuals!I139-H21),I37)</f>
        <v>1</v>
      </c>
      <c r="J39" s="68" t="n">
        <f aca="false">IF(J$5="A",MAX(0,Inputs_Actuals!J127-I9)+MAX(0,Inputs_Actuals!J128-I10)+MAX(0,Inputs_Actuals!J129-I11)+MAX(0,Inputs_Actuals!J130-I12)+MAX(0,Inputs_Actuals!J131-I13)+MAX(0,Inputs_Actuals!J132-I14)+MAX(0,Inputs_Actuals!J133-I15)+MAX(0,Inputs_Actuals!J134-I16)+MAX(0,Inputs_Actuals!J135-I17)+MAX(0,Inputs_Actuals!J136-I18)+MAX(0,Inputs_Actuals!J137-I19)+MAX(0,Inputs_Actuals!J138-I20)+MAX(0,Inputs_Actuals!J139-I21),J37)</f>
        <v>1</v>
      </c>
      <c r="K39" s="68" t="n">
        <f aca="false">IF(K$5="A",MAX(0,Inputs_Actuals!K127-J9)+MAX(0,Inputs_Actuals!K128-J10)+MAX(0,Inputs_Actuals!K129-J11)+MAX(0,Inputs_Actuals!K130-J12)+MAX(0,Inputs_Actuals!K131-J13)+MAX(0,Inputs_Actuals!K132-J14)+MAX(0,Inputs_Actuals!K133-J15)+MAX(0,Inputs_Actuals!K134-J16)+MAX(0,Inputs_Actuals!K135-J17)+MAX(0,Inputs_Actuals!K136-J18)+MAX(0,Inputs_Actuals!K137-J19)+MAX(0,Inputs_Actuals!K138-J20)+MAX(0,Inputs_Actuals!K139-J21),K37)</f>
        <v>0</v>
      </c>
      <c r="L39" s="68" t="n">
        <f aca="false">IF(L$5="A",MAX(0,Inputs_Actuals!L127-K9)+MAX(0,Inputs_Actuals!L128-K10)+MAX(0,Inputs_Actuals!L129-K11)+MAX(0,Inputs_Actuals!L130-K12)+MAX(0,Inputs_Actuals!L131-K13)+MAX(0,Inputs_Actuals!L132-K14)+MAX(0,Inputs_Actuals!L133-K15)+MAX(0,Inputs_Actuals!L134-K16)+MAX(0,Inputs_Actuals!L135-K17)+MAX(0,Inputs_Actuals!L136-K18)+MAX(0,Inputs_Actuals!L137-K19)+MAX(0,Inputs_Actuals!L138-K20)+MAX(0,Inputs_Actuals!L139-K21),L37)</f>
        <v>0</v>
      </c>
      <c r="M39" s="68" t="n">
        <f aca="false">IF(M$5="A",MAX(0,Inputs_Actuals!M127-L9)+MAX(0,Inputs_Actuals!M128-L10)+MAX(0,Inputs_Actuals!M129-L11)+MAX(0,Inputs_Actuals!M130-L12)+MAX(0,Inputs_Actuals!M131-L13)+MAX(0,Inputs_Actuals!M132-L14)+MAX(0,Inputs_Actuals!M133-L15)+MAX(0,Inputs_Actuals!M134-L16)+MAX(0,Inputs_Actuals!M135-L17)+MAX(0,Inputs_Actuals!M136-L18)+MAX(0,Inputs_Actuals!M137-L19)+MAX(0,Inputs_Actuals!M138-L20)+MAX(0,Inputs_Actuals!M139-L21),M37)</f>
        <v>0</v>
      </c>
      <c r="N39" s="68" t="n">
        <f aca="false">IF(N$5="A",MAX(0,Inputs_Actuals!N127-M9)+MAX(0,Inputs_Actuals!N128-M10)+MAX(0,Inputs_Actuals!N129-M11)+MAX(0,Inputs_Actuals!N130-M12)+MAX(0,Inputs_Actuals!N131-M13)+MAX(0,Inputs_Actuals!N132-M14)+MAX(0,Inputs_Actuals!N133-M15)+MAX(0,Inputs_Actuals!N134-M16)+MAX(0,Inputs_Actuals!N135-M17)+MAX(0,Inputs_Actuals!N136-M18)+MAX(0,Inputs_Actuals!N137-M19)+MAX(0,Inputs_Actuals!N138-M20)+MAX(0,Inputs_Actuals!N139-M21),N37)</f>
        <v>2</v>
      </c>
      <c r="O39" s="68" t="n">
        <f aca="false">IF(O$5="A",MAX(0,Inputs_Actuals!O127-N9)+MAX(0,Inputs_Actuals!O128-N10)+MAX(0,Inputs_Actuals!O129-N11)+MAX(0,Inputs_Actuals!O130-N12)+MAX(0,Inputs_Actuals!O131-N13)+MAX(0,Inputs_Actuals!O132-N14)+MAX(0,Inputs_Actuals!O133-N15)+MAX(0,Inputs_Actuals!O134-N16)+MAX(0,Inputs_Actuals!O135-N17)+MAX(0,Inputs_Actuals!O136-N18)+MAX(0,Inputs_Actuals!O137-N19)+MAX(0,Inputs_Actuals!O138-N20)+MAX(0,Inputs_Actuals!O139-N21),O37)</f>
        <v>1.80333333333333</v>
      </c>
      <c r="P39" s="68" t="n">
        <f aca="false">IF(P$5="A",MAX(0,Inputs_Actuals!P127-O9)+MAX(0,Inputs_Actuals!P128-O10)+MAX(0,Inputs_Actuals!P129-O11)+MAX(0,Inputs_Actuals!P130-O12)+MAX(0,Inputs_Actuals!P131-O13)+MAX(0,Inputs_Actuals!P132-O14)+MAX(0,Inputs_Actuals!P133-O15)+MAX(0,Inputs_Actuals!P134-O16)+MAX(0,Inputs_Actuals!P135-O17)+MAX(0,Inputs_Actuals!P136-O18)+MAX(0,Inputs_Actuals!P137-O19)+MAX(0,Inputs_Actuals!P138-O20)+MAX(0,Inputs_Actuals!P139-O21),P37)</f>
        <v>0.794019444444444</v>
      </c>
      <c r="Q39" s="68" t="n">
        <f aca="false">IF(Q$5="A",MAX(0,Inputs_Actuals!Q127-P9)+MAX(0,Inputs_Actuals!Q128-P10)+MAX(0,Inputs_Actuals!Q129-P11)+MAX(0,Inputs_Actuals!Q130-P12)+MAX(0,Inputs_Actuals!Q131-P13)+MAX(0,Inputs_Actuals!Q132-P14)+MAX(0,Inputs_Actuals!Q133-P15)+MAX(0,Inputs_Actuals!Q134-P16)+MAX(0,Inputs_Actuals!Q135-P17)+MAX(0,Inputs_Actuals!Q136-P18)+MAX(0,Inputs_Actuals!Q137-P19)+MAX(0,Inputs_Actuals!Q138-P20)+MAX(0,Inputs_Actuals!Q139-P21),Q37)</f>
        <v>5.80565844675926</v>
      </c>
      <c r="R39" s="68" t="n">
        <f aca="false">IF(R$5="A",MAX(0,Inputs_Actuals!R127-Q9)+MAX(0,Inputs_Actuals!R128-Q10)+MAX(0,Inputs_Actuals!R129-Q11)+MAX(0,Inputs_Actuals!R130-Q12)+MAX(0,Inputs_Actuals!R131-Q13)+MAX(0,Inputs_Actuals!R132-Q14)+MAX(0,Inputs_Actuals!R133-Q15)+MAX(0,Inputs_Actuals!R134-Q16)+MAX(0,Inputs_Actuals!R135-Q17)+MAX(0,Inputs_Actuals!R136-Q18)+MAX(0,Inputs_Actuals!R137-Q19)+MAX(0,Inputs_Actuals!R138-Q20)+MAX(0,Inputs_Actuals!R139-Q21),R37)</f>
        <v>1.8223368659973</v>
      </c>
      <c r="S39" s="68" t="n">
        <f aca="false">IF(S$5="A",MAX(0,Inputs_Actuals!S127-R9)+MAX(0,Inputs_Actuals!S128-R10)+MAX(0,Inputs_Actuals!S129-R11)+MAX(0,Inputs_Actuals!S130-R12)+MAX(0,Inputs_Actuals!S131-R13)+MAX(0,Inputs_Actuals!S132-R14)+MAX(0,Inputs_Actuals!S133-R15)+MAX(0,Inputs_Actuals!S134-R16)+MAX(0,Inputs_Actuals!S135-R17)+MAX(0,Inputs_Actuals!S136-R18)+MAX(0,Inputs_Actuals!S137-R19)+MAX(0,Inputs_Actuals!S138-R20)+MAX(0,Inputs_Actuals!S139-R21),S37)</f>
        <v>1.82195050204485</v>
      </c>
      <c r="T39" s="68" t="n">
        <f aca="false">IF(T$5="A",MAX(0,Inputs_Actuals!T127-S9)+MAX(0,Inputs_Actuals!T128-S10)+MAX(0,Inputs_Actuals!T129-S11)+MAX(0,Inputs_Actuals!T130-S12)+MAX(0,Inputs_Actuals!T131-S13)+MAX(0,Inputs_Actuals!T132-S14)+MAX(0,Inputs_Actuals!T133-S15)+MAX(0,Inputs_Actuals!T134-S16)+MAX(0,Inputs_Actuals!T135-S17)+MAX(0,Inputs_Actuals!T136-S18)+MAX(0,Inputs_Actuals!T137-S19)+MAX(0,Inputs_Actuals!T138-S20)+MAX(0,Inputs_Actuals!T139-S21),T37)</f>
        <v>2.87584414740924</v>
      </c>
      <c r="U39" s="68" t="n">
        <f aca="false">IF(U$5="A",MAX(0,Inputs_Actuals!U127-T9)+MAX(0,Inputs_Actuals!U128-T10)+MAX(0,Inputs_Actuals!U129-T11)+MAX(0,Inputs_Actuals!U130-T12)+MAX(0,Inputs_Actuals!U131-T13)+MAX(0,Inputs_Actuals!U132-T14)+MAX(0,Inputs_Actuals!U133-T15)+MAX(0,Inputs_Actuals!U134-T16)+MAX(0,Inputs_Actuals!U135-T17)+MAX(0,Inputs_Actuals!U136-T18)+MAX(0,Inputs_Actuals!U137-T19)+MAX(0,Inputs_Actuals!U138-T20)+MAX(0,Inputs_Actuals!U139-T21),U37)</f>
        <v>0.891878557371558</v>
      </c>
      <c r="V39" s="68" t="n">
        <f aca="false">IF(V$5="A",MAX(0,Inputs_Actuals!V127-U9)+MAX(0,Inputs_Actuals!V128-U10)+MAX(0,Inputs_Actuals!V129-U11)+MAX(0,Inputs_Actuals!V130-U12)+MAX(0,Inputs_Actuals!V131-U13)+MAX(0,Inputs_Actuals!V132-U14)+MAX(0,Inputs_Actuals!V133-U15)+MAX(0,Inputs_Actuals!V134-U16)+MAX(0,Inputs_Actuals!V135-U17)+MAX(0,Inputs_Actuals!V136-U18)+MAX(0,Inputs_Actuals!V137-U19)+MAX(0,Inputs_Actuals!V138-U20)+MAX(0,Inputs_Actuals!V139-U21),V37)</f>
        <v>1.89930447898105</v>
      </c>
      <c r="W39" s="68" t="n">
        <f aca="false">IF(W$5="A",MAX(0,Inputs_Actuals!W127-V9)+MAX(0,Inputs_Actuals!W128-V10)+MAX(0,Inputs_Actuals!W129-V11)+MAX(0,Inputs_Actuals!W130-V12)+MAX(0,Inputs_Actuals!W131-V13)+MAX(0,Inputs_Actuals!W132-V14)+MAX(0,Inputs_Actuals!W133-V15)+MAX(0,Inputs_Actuals!W134-V16)+MAX(0,Inputs_Actuals!W135-V17)+MAX(0,Inputs_Actuals!W136-V18)+MAX(0,Inputs_Actuals!W137-V19)+MAX(0,Inputs_Actuals!W138-V20)+MAX(0,Inputs_Actuals!W139-V21),W37)</f>
        <v>1.92814484221558</v>
      </c>
      <c r="X39" s="68" t="n">
        <f aca="false">IF(X$5="A",MAX(0,Inputs_Actuals!X127-W9)+MAX(0,Inputs_Actuals!X128-W10)+MAX(0,Inputs_Actuals!X129-W11)+MAX(0,Inputs_Actuals!X130-W12)+MAX(0,Inputs_Actuals!X131-W13)+MAX(0,Inputs_Actuals!X132-W14)+MAX(0,Inputs_Actuals!X133-W15)+MAX(0,Inputs_Actuals!X134-W16)+MAX(0,Inputs_Actuals!X135-W17)+MAX(0,Inputs_Actuals!X136-W18)+MAX(0,Inputs_Actuals!X137-W19)+MAX(0,Inputs_Actuals!X138-W20)+MAX(0,Inputs_Actuals!X139-W21),X37)</f>
        <v>0.927659033244653</v>
      </c>
      <c r="Y39" s="68" t="n">
        <f aca="false">IF(Y$5="A",MAX(0,Inputs_Actuals!Y127-X9)+MAX(0,Inputs_Actuals!Y128-X10)+MAX(0,Inputs_Actuals!Y129-X11)+MAX(0,Inputs_Actuals!Y130-X12)+MAX(0,Inputs_Actuals!Y131-X13)+MAX(0,Inputs_Actuals!Y132-X14)+MAX(0,Inputs_Actuals!Y133-X15)+MAX(0,Inputs_Actuals!Y134-X16)+MAX(0,Inputs_Actuals!Y135-X17)+MAX(0,Inputs_Actuals!Y136-X18)+MAX(0,Inputs_Actuals!Y137-X19)+MAX(0,Inputs_Actuals!Y138-X20)+MAX(0,Inputs_Actuals!Y139-X21),Y37)</f>
        <v>1.93557013720999</v>
      </c>
      <c r="Z39" s="68" t="n">
        <f aca="false">IF(Z$5="A",MAX(0,Inputs_Actuals!Z127-Y9)+MAX(0,Inputs_Actuals!Z128-Y10)+MAX(0,Inputs_Actuals!Z129-Y11)+MAX(0,Inputs_Actuals!Z130-Y12)+MAX(0,Inputs_Actuals!Z131-Y13)+MAX(0,Inputs_Actuals!Z132-Y14)+MAX(0,Inputs_Actuals!Z133-Y15)+MAX(0,Inputs_Actuals!Z134-Y16)+MAX(0,Inputs_Actuals!Z135-Y17)+MAX(0,Inputs_Actuals!Z136-Y18)+MAX(0,Inputs_Actuals!Z137-Y19)+MAX(0,Inputs_Actuals!Z138-Y20)+MAX(0,Inputs_Actuals!Z139-Y21),Z37)</f>
        <v>0.942180656472046</v>
      </c>
      <c r="AA39" s="68" t="n">
        <f aca="false">IF(AA$5="A",MAX(0,Inputs_Actuals!AA127-Z9)+MAX(0,Inputs_Actuals!AA128-Z10)+MAX(0,Inputs_Actuals!AA129-Z11)+MAX(0,Inputs_Actuals!AA130-Z12)+MAX(0,Inputs_Actuals!AA131-Z13)+MAX(0,Inputs_Actuals!AA132-Z14)+MAX(0,Inputs_Actuals!AA133-Z15)+MAX(0,Inputs_Actuals!AA134-Z16)+MAX(0,Inputs_Actuals!AA135-Z17)+MAX(0,Inputs_Actuals!AA136-Z18)+MAX(0,Inputs_Actuals!AA137-Z19)+MAX(0,Inputs_Actuals!AA138-Z20)+MAX(0,Inputs_Actuals!AA139-Z21),AA37)</f>
        <v>0.942073548538061</v>
      </c>
      <c r="AB39" s="68" t="n">
        <f aca="false">IF(AB$5="A",MAX(0,Inputs_Actuals!AB127-AA9)+MAX(0,Inputs_Actuals!AB128-AA10)+MAX(0,Inputs_Actuals!AB129-AA11)+MAX(0,Inputs_Actuals!AB130-AA12)+MAX(0,Inputs_Actuals!AB131-AA13)+MAX(0,Inputs_Actuals!AB132-AA14)+MAX(0,Inputs_Actuals!AB133-AA15)+MAX(0,Inputs_Actuals!AB134-AA16)+MAX(0,Inputs_Actuals!AB135-AA17)+MAX(0,Inputs_Actuals!AB136-AA18)+MAX(0,Inputs_Actuals!AB137-AA19)+MAX(0,Inputs_Actuals!AB138-AA20)+MAX(0,Inputs_Actuals!AB139-AA21),AB37)</f>
        <v>0.950363589711477</v>
      </c>
    </row>
    <row r="40" customFormat="false" ht="15" hidden="false" customHeight="false" outlineLevel="0" collapsed="false">
      <c r="A40" s="22" t="s">
        <v>1122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customFormat="false" ht="15" hidden="false" customHeight="false" outlineLevel="0" collapsed="false">
      <c r="A41" s="28" t="s">
        <v>1123</v>
      </c>
      <c r="B41" s="62" t="s">
        <v>1124</v>
      </c>
      <c r="C41" s="64" t="n">
        <f aca="false">SUM(E41:P41)</f>
        <v>772058.329790381</v>
      </c>
      <c r="D41" s="64" t="n">
        <f aca="false">SUM(Q41:AB41)</f>
        <v>893770.700124203</v>
      </c>
      <c r="E41" s="65" t="n">
        <f aca="false">E9*((Assumptions!$D$88*IF(Assumptions!E$206=2027,1+Assumptions!$F$193,1))/12)</f>
        <v>57166.6666666667</v>
      </c>
      <c r="F41" s="65" t="n">
        <f aca="false">F9*((Assumptions!$D$88*IF(Assumptions!F$206=2027,1+Assumptions!$F$193,1))/12)</f>
        <v>65333.3333333333</v>
      </c>
      <c r="G41" s="65" t="n">
        <f aca="false">G9*((Assumptions!$D$88*IF(Assumptions!G$206=2027,1+Assumptions!$F$193,1))/12)</f>
        <v>65333.3333333333</v>
      </c>
      <c r="H41" s="65" t="n">
        <f aca="false">H9*((Assumptions!$D$88*IF(Assumptions!H$206=2027,1+Assumptions!$F$193,1))/12)</f>
        <v>65333.3333333333</v>
      </c>
      <c r="I41" s="65" t="n">
        <f aca="false">I9*((Assumptions!$D$88*IF(Assumptions!I$206=2027,1+Assumptions!$F$193,1))/12)</f>
        <v>65333.3333333333</v>
      </c>
      <c r="J41" s="65" t="n">
        <f aca="false">J9*((Assumptions!$D$88*IF(Assumptions!J$206=2027,1+Assumptions!$F$193,1))/12)</f>
        <v>65333.3333333333</v>
      </c>
      <c r="K41" s="65" t="n">
        <f aca="false">K9*((Assumptions!$D$88*IF(Assumptions!K$206=2027,1+Assumptions!$F$193,1))/12)</f>
        <v>65333.3333333333</v>
      </c>
      <c r="L41" s="65" t="n">
        <f aca="false">L9*((Assumptions!$D$88*IF(Assumptions!L$206=2027,1+Assumptions!$F$193,1))/12)</f>
        <v>65333.3333333333</v>
      </c>
      <c r="M41" s="65" t="n">
        <f aca="false">M9*((Assumptions!$D$88*IF(Assumptions!M$206=2027,1+Assumptions!$F$193,1))/12)</f>
        <v>64788.8888888889</v>
      </c>
      <c r="N41" s="65" t="n">
        <f aca="false">N9*((Assumptions!$D$88*IF(Assumptions!N$206=2027,1+Assumptions!$F$193,1))/12)</f>
        <v>64248.9814814815</v>
      </c>
      <c r="O41" s="65" t="n">
        <f aca="false">O9*((Assumptions!$D$88*IF(Assumptions!O$206=2027,1+Assumptions!$F$193,1))/12)</f>
        <v>64258.0177469136</v>
      </c>
      <c r="P41" s="65" t="n">
        <f aca="false">P9*((Assumptions!$D$88*IF(Assumptions!P$206=2027,1+Assumptions!$F$193,1))/12)</f>
        <v>64262.4416730967</v>
      </c>
      <c r="Q41" s="65" t="n">
        <f aca="false">Q9*((Assumptions!$D$88*IF(Assumptions!Q$206=2027,1+Assumptions!$F$193,1))/12)</f>
        <v>74601.8660566449</v>
      </c>
      <c r="R41" s="65" t="n">
        <f aca="false">R9*((Assumptions!$D$88*IF(Assumptions!R$206=2027,1+Assumptions!$F$193,1))/12)</f>
        <v>74531.7318251672</v>
      </c>
      <c r="S41" s="65" t="n">
        <f aca="false">S9*((Assumptions!$D$88*IF(Assumptions!S$206=2027,1+Assumptions!$F$193,1))/12)</f>
        <v>74462.2200176516</v>
      </c>
      <c r="T41" s="65" t="n">
        <f aca="false">T9*((Assumptions!$D$88*IF(Assumptions!T$206=2027,1+Assumptions!$F$193,1))/12)</f>
        <v>74463.3837346432</v>
      </c>
      <c r="U41" s="65" t="n">
        <f aca="false">U9*((Assumptions!$D$88*IF(Assumptions!U$206=2027,1+Assumptions!$F$193,1))/12)</f>
        <v>74463.9533020642</v>
      </c>
      <c r="V41" s="65" t="n">
        <f aca="false">V9*((Assumptions!$D$88*IF(Assumptions!V$206=2027,1+Assumptions!$F$193,1))/12)</f>
        <v>74463.9388580274</v>
      </c>
      <c r="W41" s="65" t="n">
        <f aca="false">W9*((Assumptions!$D$88*IF(Assumptions!W$206=2027,1+Assumptions!$F$193,1))/12)</f>
        <v>74463.9342319992</v>
      </c>
      <c r="X41" s="65" t="n">
        <f aca="false">X9*((Assumptions!$D$88*IF(Assumptions!X$206=2027,1+Assumptions!$F$193,1))/12)</f>
        <v>74463.9343909165</v>
      </c>
      <c r="Y41" s="65" t="n">
        <f aca="false">Y9*((Assumptions!$D$88*IF(Assumptions!Y$206=2027,1+Assumptions!$F$193,1))/12)</f>
        <v>74463.9344281424</v>
      </c>
      <c r="Z41" s="65" t="n">
        <f aca="false">Z9*((Assumptions!$D$88*IF(Assumptions!Z$206=2027,1+Assumptions!$F$193,1))/12)</f>
        <v>74463.9344265078</v>
      </c>
      <c r="AA41" s="65" t="n">
        <f aca="false">AA9*((Assumptions!$D$88*IF(Assumptions!AA$206=2027,1+Assumptions!$F$193,1))/12)</f>
        <v>74463.9344262112</v>
      </c>
      <c r="AB41" s="65" t="n">
        <f aca="false">AB9*((Assumptions!$D$88*IF(Assumptions!AB$206=2027,1+Assumptions!$F$193,1))/12)</f>
        <v>74463.9344262273</v>
      </c>
    </row>
    <row r="42" customFormat="false" ht="15" hidden="false" customHeight="false" outlineLevel="0" collapsed="false">
      <c r="A42" s="28" t="s">
        <v>1125</v>
      </c>
      <c r="B42" s="62" t="s">
        <v>1124</v>
      </c>
      <c r="C42" s="64" t="n">
        <f aca="false">SUM(E42:P42)</f>
        <v>899206.633736015</v>
      </c>
      <c r="D42" s="64" t="n">
        <f aca="false">SUM(Q42:AB42)</f>
        <v>1040792.31550544</v>
      </c>
      <c r="E42" s="65" t="n">
        <f aca="false">E10*((Assumptions!$D$89*IF(Assumptions!E$206=2027,1+Assumptions!$F$193,1))/12)</f>
        <v>71500</v>
      </c>
      <c r="F42" s="65" t="n">
        <f aca="false">F10*((Assumptions!$D$89*IF(Assumptions!F$206=2027,1+Assumptions!$F$193,1))/12)</f>
        <v>71500</v>
      </c>
      <c r="G42" s="65" t="n">
        <f aca="false">G10*((Assumptions!$D$89*IF(Assumptions!G$206=2027,1+Assumptions!$F$193,1))/12)</f>
        <v>71500</v>
      </c>
      <c r="H42" s="65" t="n">
        <f aca="false">H10*((Assumptions!$D$89*IF(Assumptions!H$206=2027,1+Assumptions!$F$193,1))/12)</f>
        <v>78000</v>
      </c>
      <c r="I42" s="65" t="n">
        <f aca="false">I10*((Assumptions!$D$89*IF(Assumptions!I$206=2027,1+Assumptions!$F$193,1))/12)</f>
        <v>78000</v>
      </c>
      <c r="J42" s="65" t="n">
        <f aca="false">J10*((Assumptions!$D$89*IF(Assumptions!J$206=2027,1+Assumptions!$F$193,1))/12)</f>
        <v>78000</v>
      </c>
      <c r="K42" s="65" t="n">
        <f aca="false">K10*((Assumptions!$D$89*IF(Assumptions!K$206=2027,1+Assumptions!$F$193,1))/12)</f>
        <v>78000</v>
      </c>
      <c r="L42" s="65" t="n">
        <f aca="false">L10*((Assumptions!$D$89*IF(Assumptions!L$206=2027,1+Assumptions!$F$193,1))/12)</f>
        <v>71500</v>
      </c>
      <c r="M42" s="65" t="n">
        <f aca="false">M10*((Assumptions!$D$89*IF(Assumptions!M$206=2027,1+Assumptions!$F$193,1))/12)</f>
        <v>70904.1666666667</v>
      </c>
      <c r="N42" s="65" t="n">
        <f aca="false">N10*((Assumptions!$D$89*IF(Assumptions!N$206=2027,1+Assumptions!$F$193,1))/12)</f>
        <v>76813.2986111111</v>
      </c>
      <c r="O42" s="65" t="n">
        <f aca="false">O10*((Assumptions!$D$89*IF(Assumptions!O$206=2027,1+Assumptions!$F$193,1))/12)</f>
        <v>76769.0211226852</v>
      </c>
      <c r="P42" s="65" t="n">
        <f aca="false">P10*((Assumptions!$D$89*IF(Assumptions!P$206=2027,1+Assumptions!$F$193,1))/12)</f>
        <v>76720.1473355517</v>
      </c>
      <c r="Q42" s="65" t="n">
        <f aca="false">Q10*((Assumptions!$D$89*IF(Assumptions!Q$206=2027,1+Assumptions!$F$193,1))/12)</f>
        <v>79022.5513040668</v>
      </c>
      <c r="R42" s="65" t="n">
        <f aca="false">R10*((Assumptions!$D$89*IF(Assumptions!R$206=2027,1+Assumptions!$F$193,1))/12)</f>
        <v>79022.9641411693</v>
      </c>
      <c r="S42" s="65" t="n">
        <f aca="false">S10*((Assumptions!$D$89*IF(Assumptions!S$206=2027,1+Assumptions!$F$193,1))/12)</f>
        <v>85717.9540379564</v>
      </c>
      <c r="T42" s="65" t="n">
        <f aca="false">T10*((Assumptions!$D$89*IF(Assumptions!T$206=2027,1+Assumptions!$F$193,1))/12)</f>
        <v>85662.159015174</v>
      </c>
      <c r="U42" s="65" t="n">
        <f aca="false">U10*((Assumptions!$D$89*IF(Assumptions!U$206=2027,1+Assumptions!$F$193,1))/12)</f>
        <v>85606.8323912239</v>
      </c>
      <c r="V42" s="65" t="n">
        <f aca="false">V10*((Assumptions!$D$89*IF(Assumptions!V$206=2027,1+Assumptions!$F$193,1))/12)</f>
        <v>85607.7584049467</v>
      </c>
      <c r="W42" s="65" t="n">
        <f aca="false">W10*((Assumptions!$D$89*IF(Assumptions!W$206=2027,1+Assumptions!$F$193,1))/12)</f>
        <v>85608.2117433652</v>
      </c>
      <c r="X42" s="65" t="n">
        <f aca="false">X10*((Assumptions!$D$89*IF(Assumptions!X$206=2027,1+Assumptions!$F$193,1))/12)</f>
        <v>85608.2002487641</v>
      </c>
      <c r="Y42" s="65" t="n">
        <f aca="false">Y10*((Assumptions!$D$89*IF(Assumptions!Y$206=2027,1+Assumptions!$F$193,1))/12)</f>
        <v>92303.1965667323</v>
      </c>
      <c r="Z42" s="65" t="n">
        <f aca="false">Z10*((Assumptions!$D$89*IF(Assumptions!Z$206=2027,1+Assumptions!$F$193,1))/12)</f>
        <v>92247.4050265375</v>
      </c>
      <c r="AA42" s="65" t="n">
        <f aca="false">AA10*((Assumptions!$D$89*IF(Assumptions!AA$206=2027,1+Assumptions!$F$193,1))/12)</f>
        <v>92192.0783200561</v>
      </c>
      <c r="AB42" s="65" t="n">
        <f aca="false">AB10*((Assumptions!$D$89*IF(Assumptions!AB$206=2027,1+Assumptions!$F$193,1))/12)</f>
        <v>92193.0043054451</v>
      </c>
    </row>
    <row r="43" customFormat="false" ht="15" hidden="false" customHeight="false" outlineLevel="0" collapsed="false">
      <c r="A43" s="28" t="s">
        <v>1126</v>
      </c>
      <c r="B43" s="62" t="s">
        <v>1124</v>
      </c>
      <c r="C43" s="64" t="n">
        <f aca="false">SUM(E43:P43)</f>
        <v>957781.245571309</v>
      </c>
      <c r="D43" s="64" t="n">
        <f aca="false">SUM(Q43:AB43)</f>
        <v>1176493.39063176</v>
      </c>
      <c r="E43" s="65" t="n">
        <f aca="false">E11*((Assumptions!$D$90*IF(Assumptions!E$206=2027,1+Assumptions!$F$193,1))/12)</f>
        <v>75833.3333333333</v>
      </c>
      <c r="F43" s="65" t="n">
        <f aca="false">F11*((Assumptions!$D$90*IF(Assumptions!F$206=2027,1+Assumptions!$F$193,1))/12)</f>
        <v>75833.3333333333</v>
      </c>
      <c r="G43" s="65" t="n">
        <f aca="false">G11*((Assumptions!$D$90*IF(Assumptions!G$206=2027,1+Assumptions!$F$193,1))/12)</f>
        <v>81666.6666666667</v>
      </c>
      <c r="H43" s="65" t="n">
        <f aca="false">H11*((Assumptions!$D$90*IF(Assumptions!H$206=2027,1+Assumptions!$F$193,1))/12)</f>
        <v>81666.6666666667</v>
      </c>
      <c r="I43" s="65" t="n">
        <f aca="false">I11*((Assumptions!$D$90*IF(Assumptions!I$206=2027,1+Assumptions!$F$193,1))/12)</f>
        <v>75833.3333333333</v>
      </c>
      <c r="J43" s="65" t="n">
        <f aca="false">J11*((Assumptions!$D$90*IF(Assumptions!J$206=2027,1+Assumptions!$F$193,1))/12)</f>
        <v>81666.6666666667</v>
      </c>
      <c r="K43" s="65" t="n">
        <f aca="false">K11*((Assumptions!$D$90*IF(Assumptions!K$206=2027,1+Assumptions!$F$193,1))/12)</f>
        <v>81666.6666666667</v>
      </c>
      <c r="L43" s="65" t="n">
        <f aca="false">L11*((Assumptions!$D$90*IF(Assumptions!L$206=2027,1+Assumptions!$F$193,1))/12)</f>
        <v>81666.6666666667</v>
      </c>
      <c r="M43" s="65" t="n">
        <f aca="false">M11*((Assumptions!$D$90*IF(Assumptions!M$206=2027,1+Assumptions!$F$193,1))/12)</f>
        <v>80986.1111111111</v>
      </c>
      <c r="N43" s="65" t="n">
        <f aca="false">N11*((Assumptions!$D$90*IF(Assumptions!N$206=2027,1+Assumptions!$F$193,1))/12)</f>
        <v>80311.2268518518</v>
      </c>
      <c r="O43" s="65" t="n">
        <f aca="false">O11*((Assumptions!$D$90*IF(Assumptions!O$206=2027,1+Assumptions!$F$193,1))/12)</f>
        <v>80322.522183642</v>
      </c>
      <c r="P43" s="65" t="n">
        <f aca="false">P11*((Assumptions!$D$90*IF(Assumptions!P$206=2027,1+Assumptions!$F$193,1))/12)</f>
        <v>80328.0520913709</v>
      </c>
      <c r="Q43" s="65" t="n">
        <f aca="false">Q11*((Assumptions!$D$90*IF(Assumptions!Q$206=2027,1+Assumptions!$F$193,1))/12)</f>
        <v>94754.4159041395</v>
      </c>
      <c r="R43" s="65" t="n">
        <f aca="false">R11*((Assumptions!$D$90*IF(Assumptions!R$206=2027,1+Assumptions!$F$193,1))/12)</f>
        <v>94654.2307536812</v>
      </c>
      <c r="S43" s="65" t="n">
        <f aca="false">S11*((Assumptions!$D$90*IF(Assumptions!S$206=2027,1+Assumptions!$F$193,1))/12)</f>
        <v>94554.9279445182</v>
      </c>
      <c r="T43" s="65" t="n">
        <f aca="false">T11*((Assumptions!$D$90*IF(Assumptions!T$206=2027,1+Assumptions!$F$193,1))/12)</f>
        <v>94556.5903441817</v>
      </c>
      <c r="U43" s="65" t="n">
        <f aca="false">U11*((Assumptions!$D$90*IF(Assumptions!U$206=2027,1+Assumptions!$F$193,1))/12)</f>
        <v>94557.4040142608</v>
      </c>
      <c r="V43" s="65" t="n">
        <f aca="false">V11*((Assumptions!$D$90*IF(Assumptions!V$206=2027,1+Assumptions!$F$193,1))/12)</f>
        <v>100565.71671368</v>
      </c>
      <c r="W43" s="65" t="n">
        <f aca="false">W11*((Assumptions!$D$90*IF(Assumptions!W$206=2027,1+Assumptions!$F$193,1))/12)</f>
        <v>100515.640660601</v>
      </c>
      <c r="X43" s="65" t="n">
        <f aca="false">X11*((Assumptions!$D$90*IF(Assumptions!X$206=2027,1+Assumptions!$F$193,1))/12)</f>
        <v>100465.988688548</v>
      </c>
      <c r="Y43" s="65" t="n">
        <f aca="false">Y11*((Assumptions!$D$90*IF(Assumptions!Y$206=2027,1+Assumptions!$F$193,1))/12)</f>
        <v>100466.819755424</v>
      </c>
      <c r="Z43" s="65" t="n">
        <f aca="false">Z11*((Assumptions!$D$90*IF(Assumptions!Z$206=2027,1+Assumptions!$F$193,1))/12)</f>
        <v>100467.2265963</v>
      </c>
      <c r="AA43" s="65" t="n">
        <f aca="false">AA11*((Assumptions!$D$90*IF(Assumptions!AA$206=2027,1+Assumptions!$F$193,1))/12)</f>
        <v>100467.216280402</v>
      </c>
      <c r="AB43" s="65" t="n">
        <f aca="false">AB11*((Assumptions!$D$90*IF(Assumptions!AB$206=2027,1+Assumptions!$F$193,1))/12)</f>
        <v>100467.212976028</v>
      </c>
    </row>
    <row r="44" customFormat="false" ht="15" hidden="false" customHeight="false" outlineLevel="0" collapsed="false">
      <c r="A44" s="28" t="s">
        <v>1127</v>
      </c>
      <c r="B44" s="62" t="s">
        <v>1124</v>
      </c>
      <c r="C44" s="64" t="n">
        <f aca="false">SUM(E44:P44)</f>
        <v>373194.354172695</v>
      </c>
      <c r="D44" s="64" t="n">
        <f aca="false">SUM(Q44:AB44)</f>
        <v>379918.048875868</v>
      </c>
      <c r="E44" s="65" t="n">
        <f aca="false">E12*((Assumptions!$D$91*IF(Assumptions!E$206=2027,1+Assumptions!$F$193,1))/12)</f>
        <v>31250</v>
      </c>
      <c r="F44" s="65" t="n">
        <f aca="false">F12*((Assumptions!$D$91*IF(Assumptions!F$206=2027,1+Assumptions!$F$193,1))/12)</f>
        <v>31250</v>
      </c>
      <c r="G44" s="65" t="n">
        <f aca="false">G12*((Assumptions!$D$91*IF(Assumptions!G$206=2027,1+Assumptions!$F$193,1))/12)</f>
        <v>31250</v>
      </c>
      <c r="H44" s="65" t="n">
        <f aca="false">H12*((Assumptions!$D$91*IF(Assumptions!H$206=2027,1+Assumptions!$F$193,1))/12)</f>
        <v>31250</v>
      </c>
      <c r="I44" s="65" t="n">
        <f aca="false">I12*((Assumptions!$D$91*IF(Assumptions!I$206=2027,1+Assumptions!$F$193,1))/12)</f>
        <v>31250</v>
      </c>
      <c r="J44" s="65" t="n">
        <f aca="false">J12*((Assumptions!$D$91*IF(Assumptions!J$206=2027,1+Assumptions!$F$193,1))/12)</f>
        <v>31250</v>
      </c>
      <c r="K44" s="65" t="n">
        <f aca="false">K12*((Assumptions!$D$91*IF(Assumptions!K$206=2027,1+Assumptions!$F$193,1))/12)</f>
        <v>31250</v>
      </c>
      <c r="L44" s="65" t="n">
        <f aca="false">L12*((Assumptions!$D$91*IF(Assumptions!L$206=2027,1+Assumptions!$F$193,1))/12)</f>
        <v>31250</v>
      </c>
      <c r="M44" s="65" t="n">
        <f aca="false">M12*((Assumptions!$D$91*IF(Assumptions!M$206=2027,1+Assumptions!$F$193,1))/12)</f>
        <v>30989.5833333333</v>
      </c>
      <c r="N44" s="65" t="n">
        <f aca="false">N12*((Assumptions!$D$91*IF(Assumptions!N$206=2027,1+Assumptions!$F$193,1))/12)</f>
        <v>30731.3368055556</v>
      </c>
      <c r="O44" s="65" t="n">
        <f aca="false">O12*((Assumptions!$D$91*IF(Assumptions!O$206=2027,1+Assumptions!$F$193,1))/12)</f>
        <v>30735.6589988426</v>
      </c>
      <c r="P44" s="65" t="n">
        <f aca="false">P12*((Assumptions!$D$91*IF(Assumptions!P$206=2027,1+Assumptions!$F$193,1))/12)</f>
        <v>30737.7750349633</v>
      </c>
      <c r="Q44" s="65" t="n">
        <f aca="false">Q12*((Assumptions!$D$91*IF(Assumptions!Q$206=2027,1+Assumptions!$F$193,1))/12)</f>
        <v>31659.8530245432</v>
      </c>
      <c r="R44" s="65" t="n">
        <f aca="false">R12*((Assumptions!$D$91*IF(Assumptions!R$206=2027,1+Assumptions!$F$193,1))/12)</f>
        <v>31659.835322412</v>
      </c>
      <c r="S44" s="65" t="n">
        <f aca="false">S12*((Assumptions!$D$91*IF(Assumptions!S$206=2027,1+Assumptions!$F$193,1))/12)</f>
        <v>31659.835930442</v>
      </c>
      <c r="T44" s="65" t="n">
        <f aca="false">T12*((Assumptions!$D$91*IF(Assumptions!T$206=2027,1+Assumptions!$F$193,1))/12)</f>
        <v>31659.8360728929</v>
      </c>
      <c r="U44" s="65" t="n">
        <f aca="false">U12*((Assumptions!$D$91*IF(Assumptions!U$206=2027,1+Assumptions!$F$193,1))/12)</f>
        <v>31659.8360666389</v>
      </c>
      <c r="V44" s="65" t="n">
        <f aca="false">V12*((Assumptions!$D$91*IF(Assumptions!V$206=2027,1+Assumptions!$F$193,1))/12)</f>
        <v>31659.8360655039</v>
      </c>
      <c r="W44" s="65" t="n">
        <f aca="false">W12*((Assumptions!$D$91*IF(Assumptions!W$206=2027,1+Assumptions!$F$193,1))/12)</f>
        <v>31659.8360655655</v>
      </c>
      <c r="X44" s="65" t="n">
        <f aca="false">X12*((Assumptions!$D$91*IF(Assumptions!X$206=2027,1+Assumptions!$F$193,1))/12)</f>
        <v>31659.8360655744</v>
      </c>
      <c r="Y44" s="65" t="n">
        <f aca="false">Y12*((Assumptions!$D$91*IF(Assumptions!Y$206=2027,1+Assumptions!$F$193,1))/12)</f>
        <v>31659.8360655738</v>
      </c>
      <c r="Z44" s="65" t="n">
        <f aca="false">Z12*((Assumptions!$D$91*IF(Assumptions!Z$206=2027,1+Assumptions!$F$193,1))/12)</f>
        <v>31659.8360655738</v>
      </c>
      <c r="AA44" s="65" t="n">
        <f aca="false">AA12*((Assumptions!$D$91*IF(Assumptions!AA$206=2027,1+Assumptions!$F$193,1))/12)</f>
        <v>31659.8360655738</v>
      </c>
      <c r="AB44" s="65" t="n">
        <f aca="false">AB12*((Assumptions!$D$91*IF(Assumptions!AB$206=2027,1+Assumptions!$F$193,1))/12)</f>
        <v>31659.8360655738</v>
      </c>
    </row>
    <row r="45" customFormat="false" ht="15" hidden="false" customHeight="false" outlineLevel="0" collapsed="false">
      <c r="A45" s="28" t="s">
        <v>1128</v>
      </c>
      <c r="B45" s="62" t="s">
        <v>1124</v>
      </c>
      <c r="C45" s="64" t="n">
        <f aca="false">SUM(E45:P45)</f>
        <v>429919.896006945</v>
      </c>
      <c r="D45" s="64" t="n">
        <f aca="false">SUM(Q45:AB45)</f>
        <v>437665.592305</v>
      </c>
      <c r="E45" s="65" t="n">
        <f aca="false">E13*((Assumptions!$D$92*IF(Assumptions!E$206=2027,1+Assumptions!$F$193,1))/12)</f>
        <v>36000</v>
      </c>
      <c r="F45" s="65" t="n">
        <f aca="false">F13*((Assumptions!$D$92*IF(Assumptions!F$206=2027,1+Assumptions!$F$193,1))/12)</f>
        <v>36000</v>
      </c>
      <c r="G45" s="65" t="n">
        <f aca="false">G13*((Assumptions!$D$92*IF(Assumptions!G$206=2027,1+Assumptions!$F$193,1))/12)</f>
        <v>36000</v>
      </c>
      <c r="H45" s="65" t="n">
        <f aca="false">H13*((Assumptions!$D$92*IF(Assumptions!H$206=2027,1+Assumptions!$F$193,1))/12)</f>
        <v>36000</v>
      </c>
      <c r="I45" s="65" t="n">
        <f aca="false">I13*((Assumptions!$D$92*IF(Assumptions!I$206=2027,1+Assumptions!$F$193,1))/12)</f>
        <v>36000</v>
      </c>
      <c r="J45" s="65" t="n">
        <f aca="false">J13*((Assumptions!$D$92*IF(Assumptions!J$206=2027,1+Assumptions!$F$193,1))/12)</f>
        <v>36000</v>
      </c>
      <c r="K45" s="65" t="n">
        <f aca="false">K13*((Assumptions!$D$92*IF(Assumptions!K$206=2027,1+Assumptions!$F$193,1))/12)</f>
        <v>36000</v>
      </c>
      <c r="L45" s="65" t="n">
        <f aca="false">L13*((Assumptions!$D$92*IF(Assumptions!L$206=2027,1+Assumptions!$F$193,1))/12)</f>
        <v>36000</v>
      </c>
      <c r="M45" s="65" t="n">
        <f aca="false">M13*((Assumptions!$D$92*IF(Assumptions!M$206=2027,1+Assumptions!$F$193,1))/12)</f>
        <v>35700</v>
      </c>
      <c r="N45" s="65" t="n">
        <f aca="false">N13*((Assumptions!$D$92*IF(Assumptions!N$206=2027,1+Assumptions!$F$193,1))/12)</f>
        <v>35402.5</v>
      </c>
      <c r="O45" s="65" t="n">
        <f aca="false">O13*((Assumptions!$D$92*IF(Assumptions!O$206=2027,1+Assumptions!$F$193,1))/12)</f>
        <v>35407.4791666667</v>
      </c>
      <c r="P45" s="65" t="n">
        <f aca="false">P13*((Assumptions!$D$92*IF(Assumptions!P$206=2027,1+Assumptions!$F$193,1))/12)</f>
        <v>35409.9168402778</v>
      </c>
      <c r="Q45" s="65" t="n">
        <f aca="false">Q13*((Assumptions!$D$92*IF(Assumptions!Q$206=2027,1+Assumptions!$F$193,1))/12)</f>
        <v>36472.1506842737</v>
      </c>
      <c r="R45" s="65" t="n">
        <f aca="false">R13*((Assumptions!$D$92*IF(Assumptions!R$206=2027,1+Assumptions!$F$193,1))/12)</f>
        <v>36472.1302914187</v>
      </c>
      <c r="S45" s="65" t="n">
        <f aca="false">S13*((Assumptions!$D$92*IF(Assumptions!S$206=2027,1+Assumptions!$F$193,1))/12)</f>
        <v>36472.1309918692</v>
      </c>
      <c r="T45" s="65" t="n">
        <f aca="false">T13*((Assumptions!$D$92*IF(Assumptions!T$206=2027,1+Assumptions!$F$193,1))/12)</f>
        <v>36472.1311559726</v>
      </c>
      <c r="U45" s="65" t="n">
        <f aca="false">U13*((Assumptions!$D$92*IF(Assumptions!U$206=2027,1+Assumptions!$F$193,1))/12)</f>
        <v>36472.131148768</v>
      </c>
      <c r="V45" s="65" t="n">
        <f aca="false">V13*((Assumptions!$D$92*IF(Assumptions!V$206=2027,1+Assumptions!$F$193,1))/12)</f>
        <v>36472.1311474605</v>
      </c>
      <c r="W45" s="65" t="n">
        <f aca="false">W13*((Assumptions!$D$92*IF(Assumptions!W$206=2027,1+Assumptions!$F$193,1))/12)</f>
        <v>36472.1311475314</v>
      </c>
      <c r="X45" s="65" t="n">
        <f aca="false">X13*((Assumptions!$D$92*IF(Assumptions!X$206=2027,1+Assumptions!$F$193,1))/12)</f>
        <v>36472.1311475417</v>
      </c>
      <c r="Y45" s="65" t="n">
        <f aca="false">Y13*((Assumptions!$D$92*IF(Assumptions!Y$206=2027,1+Assumptions!$F$193,1))/12)</f>
        <v>36472.1311475411</v>
      </c>
      <c r="Z45" s="65" t="n">
        <f aca="false">Z13*((Assumptions!$D$92*IF(Assumptions!Z$206=2027,1+Assumptions!$F$193,1))/12)</f>
        <v>36472.131147541</v>
      </c>
      <c r="AA45" s="65" t="n">
        <f aca="false">AA13*((Assumptions!$D$92*IF(Assumptions!AA$206=2027,1+Assumptions!$F$193,1))/12)</f>
        <v>36472.131147541</v>
      </c>
      <c r="AB45" s="65" t="n">
        <f aca="false">AB13*((Assumptions!$D$92*IF(Assumptions!AB$206=2027,1+Assumptions!$F$193,1))/12)</f>
        <v>36472.131147541</v>
      </c>
    </row>
    <row r="46" customFormat="false" ht="15" hidden="false" customHeight="false" outlineLevel="0" collapsed="false">
      <c r="A46" s="28" t="s">
        <v>1129</v>
      </c>
      <c r="B46" s="62" t="s">
        <v>1124</v>
      </c>
      <c r="C46" s="64" t="n">
        <f aca="false">SUM(E46:P46)</f>
        <v>365554.964933268</v>
      </c>
      <c r="D46" s="64" t="n">
        <f aca="false">SUM(Q46:AB46)</f>
        <v>457378.273089882</v>
      </c>
      <c r="E46" s="65" t="n">
        <f aca="false">E14*((Assumptions!$D$93*IF(Assumptions!E$206=2027,1+Assumptions!$F$193,1))/12)</f>
        <v>26000</v>
      </c>
      <c r="F46" s="65" t="n">
        <f aca="false">F14*((Assumptions!$D$93*IF(Assumptions!F$206=2027,1+Assumptions!$F$193,1))/12)</f>
        <v>26000</v>
      </c>
      <c r="G46" s="65" t="n">
        <f aca="false">G14*((Assumptions!$D$93*IF(Assumptions!G$206=2027,1+Assumptions!$F$193,1))/12)</f>
        <v>30333.3333333333</v>
      </c>
      <c r="H46" s="65" t="n">
        <f aca="false">H14*((Assumptions!$D$93*IF(Assumptions!H$206=2027,1+Assumptions!$F$193,1))/12)</f>
        <v>30333.3333333333</v>
      </c>
      <c r="I46" s="65" t="n">
        <f aca="false">I14*((Assumptions!$D$93*IF(Assumptions!I$206=2027,1+Assumptions!$F$193,1))/12)</f>
        <v>30333.3333333333</v>
      </c>
      <c r="J46" s="65" t="n">
        <f aca="false">J14*((Assumptions!$D$93*IF(Assumptions!J$206=2027,1+Assumptions!$F$193,1))/12)</f>
        <v>30333.3333333333</v>
      </c>
      <c r="K46" s="65" t="n">
        <f aca="false">K14*((Assumptions!$D$93*IF(Assumptions!K$206=2027,1+Assumptions!$F$193,1))/12)</f>
        <v>30333.3333333333</v>
      </c>
      <c r="L46" s="65" t="n">
        <f aca="false">L14*((Assumptions!$D$93*IF(Assumptions!L$206=2027,1+Assumptions!$F$193,1))/12)</f>
        <v>30333.3333333333</v>
      </c>
      <c r="M46" s="65" t="n">
        <f aca="false">M14*((Assumptions!$D$93*IF(Assumptions!M$206=2027,1+Assumptions!$F$193,1))/12)</f>
        <v>29954.1666666667</v>
      </c>
      <c r="N46" s="65" t="n">
        <f aca="false">N14*((Assumptions!$D$93*IF(Assumptions!N$206=2027,1+Assumptions!$F$193,1))/12)</f>
        <v>33913.0729166667</v>
      </c>
      <c r="O46" s="65" t="n">
        <f aca="false">O14*((Assumptions!$D$93*IF(Assumptions!O$206=2027,1+Assumptions!$F$193,1))/12)</f>
        <v>33868.326171875</v>
      </c>
      <c r="P46" s="65" t="n">
        <f aca="false">P14*((Assumptions!$D$93*IF(Assumptions!P$206=2027,1+Assumptions!$F$193,1))/12)</f>
        <v>33819.3991780599</v>
      </c>
      <c r="Q46" s="65" t="n">
        <f aca="false">Q14*((Assumptions!$D$93*IF(Assumptions!Q$206=2027,1+Assumptions!$F$193,1))/12)</f>
        <v>34835.1872027863</v>
      </c>
      <c r="R46" s="65" t="n">
        <f aca="false">R14*((Assumptions!$D$93*IF(Assumptions!R$206=2027,1+Assumptions!$F$193,1))/12)</f>
        <v>34835.8020622143</v>
      </c>
      <c r="S46" s="65" t="n">
        <f aca="false">S14*((Assumptions!$D$93*IF(Assumptions!S$206=2027,1+Assumptions!$F$193,1))/12)</f>
        <v>34835.7793008542</v>
      </c>
      <c r="T46" s="65" t="n">
        <f aca="false">T14*((Assumptions!$D$93*IF(Assumptions!T$206=2027,1+Assumptions!$F$193,1))/12)</f>
        <v>39299.1052329616</v>
      </c>
      <c r="U46" s="65" t="n">
        <f aca="false">U14*((Assumptions!$D$93*IF(Assumptions!U$206=2027,1+Assumptions!$F$193,1))/12)</f>
        <v>39243.3139433273</v>
      </c>
      <c r="V46" s="65" t="n">
        <f aca="false">V14*((Assumptions!$D$93*IF(Assumptions!V$206=2027,1+Assumptions!$F$193,1))/12)</f>
        <v>39188.2197602964</v>
      </c>
      <c r="W46" s="65" t="n">
        <f aca="false">W14*((Assumptions!$D$93*IF(Assumptions!W$206=2027,1+Assumptions!$F$193,1))/12)</f>
        <v>39189.6058287047</v>
      </c>
      <c r="X46" s="65" t="n">
        <f aca="false">X14*((Assumptions!$D$93*IF(Assumptions!X$206=2027,1+Assumptions!$F$193,1))/12)</f>
        <v>39190.2771801375</v>
      </c>
      <c r="Y46" s="65" t="n">
        <f aca="false">Y14*((Assumptions!$D$93*IF(Assumptions!Y$206=2027,1+Assumptions!$F$193,1))/12)</f>
        <v>39190.2514623895</v>
      </c>
      <c r="Z46" s="65" t="n">
        <f aca="false">Z14*((Assumptions!$D$93*IF(Assumptions!Z$206=2027,1+Assumptions!$F$193,1))/12)</f>
        <v>39190.2433919684</v>
      </c>
      <c r="AA46" s="65" t="n">
        <f aca="false">AA14*((Assumptions!$D$93*IF(Assumptions!AA$206=2027,1+Assumptions!$F$193,1))/12)</f>
        <v>39190.2438143205</v>
      </c>
      <c r="AB46" s="65" t="n">
        <f aca="false">AB14*((Assumptions!$D$93*IF(Assumptions!AB$206=2027,1+Assumptions!$F$193,1))/12)</f>
        <v>39190.2439099214</v>
      </c>
    </row>
    <row r="47" customFormat="false" ht="15" hidden="false" customHeight="false" outlineLevel="0" collapsed="false">
      <c r="A47" s="28" t="s">
        <v>1130</v>
      </c>
      <c r="B47" s="62" t="s">
        <v>1124</v>
      </c>
      <c r="C47" s="64" t="n">
        <f aca="false">SUM(E47:P47)</f>
        <v>259320.606038411</v>
      </c>
      <c r="D47" s="64" t="n">
        <f aca="false">SUM(Q47:AB47)</f>
        <v>337810.626464551</v>
      </c>
      <c r="E47" s="65" t="n">
        <f aca="false">E15*((Assumptions!$D$94*IF(Assumptions!E$206=2027,1+Assumptions!$F$193,1))/12)</f>
        <v>18666.6666666667</v>
      </c>
      <c r="F47" s="65" t="n">
        <f aca="false">F15*((Assumptions!$D$94*IF(Assumptions!F$206=2027,1+Assumptions!$F$193,1))/12)</f>
        <v>18666.6666666667</v>
      </c>
      <c r="G47" s="65" t="n">
        <f aca="false">G15*((Assumptions!$D$94*IF(Assumptions!G$206=2027,1+Assumptions!$F$193,1))/12)</f>
        <v>18666.6666666667</v>
      </c>
      <c r="H47" s="65" t="n">
        <f aca="false">H15*((Assumptions!$D$94*IF(Assumptions!H$206=2027,1+Assumptions!$F$193,1))/12)</f>
        <v>18666.6666666667</v>
      </c>
      <c r="I47" s="65" t="n">
        <f aca="false">I15*((Assumptions!$D$94*IF(Assumptions!I$206=2027,1+Assumptions!$F$193,1))/12)</f>
        <v>23333.3333333333</v>
      </c>
      <c r="J47" s="65" t="n">
        <f aca="false">J15*((Assumptions!$D$94*IF(Assumptions!J$206=2027,1+Assumptions!$F$193,1))/12)</f>
        <v>23333.3333333333</v>
      </c>
      <c r="K47" s="65" t="n">
        <f aca="false">K15*((Assumptions!$D$94*IF(Assumptions!K$206=2027,1+Assumptions!$F$193,1))/12)</f>
        <v>23333.3333333333</v>
      </c>
      <c r="L47" s="65" t="n">
        <f aca="false">L15*((Assumptions!$D$94*IF(Assumptions!L$206=2027,1+Assumptions!$F$193,1))/12)</f>
        <v>23333.3333333333</v>
      </c>
      <c r="M47" s="65" t="n">
        <f aca="false">M15*((Assumptions!$D$94*IF(Assumptions!M$206=2027,1+Assumptions!$F$193,1))/12)</f>
        <v>23041.6666666667</v>
      </c>
      <c r="N47" s="65" t="n">
        <f aca="false">N15*((Assumptions!$D$94*IF(Assumptions!N$206=2027,1+Assumptions!$F$193,1))/12)</f>
        <v>22753.6458333333</v>
      </c>
      <c r="O47" s="65" t="n">
        <f aca="false">O15*((Assumptions!$D$94*IF(Assumptions!O$206=2027,1+Assumptions!$F$193,1))/12)</f>
        <v>22760.8919270833</v>
      </c>
      <c r="P47" s="65" t="n">
        <f aca="false">P15*((Assumptions!$D$94*IF(Assumptions!P$206=2027,1+Assumptions!$F$193,1))/12)</f>
        <v>22764.4016113281</v>
      </c>
      <c r="Q47" s="65" t="n">
        <f aca="false">Q15*((Assumptions!$D$94*IF(Assumptions!Q$206=2027,1+Assumptions!$F$193,1))/12)</f>
        <v>28253.861845693</v>
      </c>
      <c r="R47" s="65" t="n">
        <f aca="false">R15*((Assumptions!$D$94*IF(Assumptions!R$206=2027,1+Assumptions!$F$193,1))/12)</f>
        <v>28193.735056183</v>
      </c>
      <c r="S47" s="65" t="n">
        <f aca="false">S15*((Assumptions!$D$94*IF(Assumptions!S$206=2027,1+Assumptions!$F$193,1))/12)</f>
        <v>28134.4050387266</v>
      </c>
      <c r="T47" s="65" t="n">
        <f aca="false">T15*((Assumptions!$D$94*IF(Assumptions!T$206=2027,1+Assumptions!$F$193,1))/12)</f>
        <v>28135.8982488136</v>
      </c>
      <c r="U47" s="65" t="n">
        <f aca="false">U15*((Assumptions!$D$94*IF(Assumptions!U$206=2027,1+Assumptions!$F$193,1))/12)</f>
        <v>28136.6212089057</v>
      </c>
      <c r="V47" s="65" t="n">
        <f aca="false">V15*((Assumptions!$D$94*IF(Assumptions!V$206=2027,1+Assumptions!$F$193,1))/12)</f>
        <v>28136.5935067785</v>
      </c>
      <c r="W47" s="65" t="n">
        <f aca="false">W15*((Assumptions!$D$94*IF(Assumptions!W$206=2027,1+Assumptions!$F$193,1))/12)</f>
        <v>28136.584816054</v>
      </c>
      <c r="X47" s="65" t="n">
        <f aca="false">X15*((Assumptions!$D$94*IF(Assumptions!X$206=2027,1+Assumptions!$F$193,1))/12)</f>
        <v>28136.5852709646</v>
      </c>
      <c r="Y47" s="65" t="n">
        <f aca="false">Y15*((Assumptions!$D$94*IF(Assumptions!Y$206=2027,1+Assumptions!$F$193,1))/12)</f>
        <v>28136.5853739123</v>
      </c>
      <c r="Z47" s="65" t="n">
        <f aca="false">Z15*((Assumptions!$D$94*IF(Assumptions!Z$206=2027,1+Assumptions!$F$193,1))/12)</f>
        <v>28136.585366939</v>
      </c>
      <c r="AA47" s="65" t="n">
        <f aca="false">AA15*((Assumptions!$D$94*IF(Assumptions!AA$206=2027,1+Assumptions!$F$193,1))/12)</f>
        <v>28136.5853657394</v>
      </c>
      <c r="AB47" s="65" t="n">
        <f aca="false">AB15*((Assumptions!$D$94*IF(Assumptions!AB$206=2027,1+Assumptions!$F$193,1))/12)</f>
        <v>28136.5853658415</v>
      </c>
    </row>
    <row r="48" customFormat="false" ht="15" hidden="false" customHeight="false" outlineLevel="0" collapsed="false">
      <c r="A48" s="28" t="s">
        <v>1131</v>
      </c>
      <c r="B48" s="62" t="s">
        <v>1124</v>
      </c>
      <c r="C48" s="64" t="n">
        <f aca="false">SUM(E48:P48)</f>
        <v>128759.935249486</v>
      </c>
      <c r="D48" s="64" t="n">
        <f aca="false">SUM(Q48:AB48)</f>
        <v>129580.683272981</v>
      </c>
      <c r="E48" s="65" t="n">
        <f aca="false">E16*((Assumptions!$D$95*IF(Assumptions!E$206=2027,1+Assumptions!$F$193,1))/12)</f>
        <v>10833.3333333333</v>
      </c>
      <c r="F48" s="65" t="n">
        <f aca="false">F16*((Assumptions!$D$95*IF(Assumptions!F$206=2027,1+Assumptions!$F$193,1))/12)</f>
        <v>10833.3333333333</v>
      </c>
      <c r="G48" s="65" t="n">
        <f aca="false">G16*((Assumptions!$D$95*IF(Assumptions!G$206=2027,1+Assumptions!$F$193,1))/12)</f>
        <v>10833.3333333333</v>
      </c>
      <c r="H48" s="65" t="n">
        <f aca="false">H16*((Assumptions!$D$95*IF(Assumptions!H$206=2027,1+Assumptions!$F$193,1))/12)</f>
        <v>10833.3333333333</v>
      </c>
      <c r="I48" s="65" t="n">
        <f aca="false">I16*((Assumptions!$D$95*IF(Assumptions!I$206=2027,1+Assumptions!$F$193,1))/12)</f>
        <v>10833.3333333333</v>
      </c>
      <c r="J48" s="65" t="n">
        <f aca="false">J16*((Assumptions!$D$95*IF(Assumptions!J$206=2027,1+Assumptions!$F$193,1))/12)</f>
        <v>10833.3333333333</v>
      </c>
      <c r="K48" s="65" t="n">
        <f aca="false">K16*((Assumptions!$D$95*IF(Assumptions!K$206=2027,1+Assumptions!$F$193,1))/12)</f>
        <v>10833.3333333333</v>
      </c>
      <c r="L48" s="65" t="n">
        <f aca="false">L16*((Assumptions!$D$95*IF(Assumptions!L$206=2027,1+Assumptions!$F$193,1))/12)</f>
        <v>10833.3333333333</v>
      </c>
      <c r="M48" s="65" t="n">
        <f aca="false">M16*((Assumptions!$D$95*IF(Assumptions!M$206=2027,1+Assumptions!$F$193,1))/12)</f>
        <v>10652.7777777778</v>
      </c>
      <c r="N48" s="65" t="n">
        <f aca="false">N16*((Assumptions!$D$95*IF(Assumptions!N$206=2027,1+Assumptions!$F$193,1))/12)</f>
        <v>10475.2314814815</v>
      </c>
      <c r="O48" s="65" t="n">
        <f aca="false">O16*((Assumptions!$D$95*IF(Assumptions!O$206=2027,1+Assumptions!$F$193,1))/12)</f>
        <v>10481.199845679</v>
      </c>
      <c r="P48" s="65" t="n">
        <f aca="false">P16*((Assumptions!$D$95*IF(Assumptions!P$206=2027,1+Assumptions!$F$193,1))/12)</f>
        <v>10484.0594778807</v>
      </c>
      <c r="Q48" s="65" t="n">
        <f aca="false">Q16*((Assumptions!$D$95*IF(Assumptions!Q$206=2027,1+Assumptions!$F$193,1))/12)</f>
        <v>10798.4297149456</v>
      </c>
      <c r="R48" s="65" t="n">
        <f aca="false">R16*((Assumptions!$D$95*IF(Assumptions!R$206=2027,1+Assumptions!$F$193,1))/12)</f>
        <v>10798.3831503806</v>
      </c>
      <c r="S48" s="65" t="n">
        <f aca="false">S16*((Assumptions!$D$95*IF(Assumptions!S$206=2027,1+Assumptions!$F$193,1))/12)</f>
        <v>10798.3864522446</v>
      </c>
      <c r="T48" s="65" t="n">
        <f aca="false">T16*((Assumptions!$D$95*IF(Assumptions!T$206=2027,1+Assumptions!$F$193,1))/12)</f>
        <v>10798.3871732896</v>
      </c>
      <c r="U48" s="65" t="n">
        <f aca="false">U16*((Assumptions!$D$95*IF(Assumptions!U$206=2027,1+Assumptions!$F$193,1))/12)</f>
        <v>10798.3871062411</v>
      </c>
      <c r="V48" s="65" t="n">
        <f aca="false">V16*((Assumptions!$D$95*IF(Assumptions!V$206=2027,1+Assumptions!$F$193,1))/12)</f>
        <v>10798.3870953412</v>
      </c>
      <c r="W48" s="65" t="n">
        <f aca="false">W16*((Assumptions!$D$95*IF(Assumptions!W$206=2027,1+Assumptions!$F$193,1))/12)</f>
        <v>10798.3870966403</v>
      </c>
      <c r="X48" s="65" t="n">
        <f aca="false">X16*((Assumptions!$D$95*IF(Assumptions!X$206=2027,1+Assumptions!$F$193,1))/12)</f>
        <v>10798.3870968003</v>
      </c>
      <c r="Y48" s="65" t="n">
        <f aca="false">Y16*((Assumptions!$D$95*IF(Assumptions!Y$206=2027,1+Assumptions!$F$193,1))/12)</f>
        <v>10798.387096776</v>
      </c>
      <c r="Z48" s="65" t="n">
        <f aca="false">Z16*((Assumptions!$D$95*IF(Assumptions!Z$206=2027,1+Assumptions!$F$193,1))/12)</f>
        <v>10798.3870967737</v>
      </c>
      <c r="AA48" s="65" t="n">
        <f aca="false">AA16*((Assumptions!$D$95*IF(Assumptions!AA$206=2027,1+Assumptions!$F$193,1))/12)</f>
        <v>10798.3870967742</v>
      </c>
      <c r="AB48" s="65" t="n">
        <f aca="false">AB16*((Assumptions!$D$95*IF(Assumptions!AB$206=2027,1+Assumptions!$F$193,1))/12)</f>
        <v>10798.3870967742</v>
      </c>
    </row>
    <row r="49" customFormat="false" ht="15" hidden="false" customHeight="false" outlineLevel="0" collapsed="false">
      <c r="A49" s="28" t="s">
        <v>1132</v>
      </c>
      <c r="B49" s="62" t="s">
        <v>1124</v>
      </c>
      <c r="C49" s="64" t="n">
        <f aca="false">SUM(E49:P49)</f>
        <v>457878.012191358</v>
      </c>
      <c r="D49" s="64" t="n">
        <f aca="false">SUM(Q49:AB49)</f>
        <v>606337.631487284</v>
      </c>
      <c r="E49" s="65" t="n">
        <f aca="false">E17*((Assumptions!$D$96*IF(Assumptions!E$206=2027,1+Assumptions!$F$193,1))/12)</f>
        <v>31666.6666666667</v>
      </c>
      <c r="F49" s="65" t="n">
        <f aca="false">F17*((Assumptions!$D$96*IF(Assumptions!F$206=2027,1+Assumptions!$F$193,1))/12)</f>
        <v>38000</v>
      </c>
      <c r="G49" s="65" t="n">
        <f aca="false">G17*((Assumptions!$D$96*IF(Assumptions!G$206=2027,1+Assumptions!$F$193,1))/12)</f>
        <v>38000</v>
      </c>
      <c r="H49" s="65" t="n">
        <f aca="false">H17*((Assumptions!$D$96*IF(Assumptions!H$206=2027,1+Assumptions!$F$193,1))/12)</f>
        <v>38000</v>
      </c>
      <c r="I49" s="65" t="n">
        <f aca="false">I17*((Assumptions!$D$96*IF(Assumptions!I$206=2027,1+Assumptions!$F$193,1))/12)</f>
        <v>38000</v>
      </c>
      <c r="J49" s="65" t="n">
        <f aca="false">J17*((Assumptions!$D$96*IF(Assumptions!J$206=2027,1+Assumptions!$F$193,1))/12)</f>
        <v>38000</v>
      </c>
      <c r="K49" s="65" t="n">
        <f aca="false">K17*((Assumptions!$D$96*IF(Assumptions!K$206=2027,1+Assumptions!$F$193,1))/12)</f>
        <v>38000</v>
      </c>
      <c r="L49" s="65" t="n">
        <f aca="false">L17*((Assumptions!$D$96*IF(Assumptions!L$206=2027,1+Assumptions!$F$193,1))/12)</f>
        <v>38000</v>
      </c>
      <c r="M49" s="65" t="n">
        <f aca="false">M17*((Assumptions!$D$96*IF(Assumptions!M$206=2027,1+Assumptions!$F$193,1))/12)</f>
        <v>37366.6666666667</v>
      </c>
      <c r="N49" s="65" t="n">
        <f aca="false">N17*((Assumptions!$D$96*IF(Assumptions!N$206=2027,1+Assumptions!$F$193,1))/12)</f>
        <v>36743.8888888889</v>
      </c>
      <c r="O49" s="65" t="n">
        <f aca="false">O17*((Assumptions!$D$96*IF(Assumptions!O$206=2027,1+Assumptions!$F$193,1))/12)</f>
        <v>43098.1574074074</v>
      </c>
      <c r="P49" s="65" t="n">
        <f aca="false">P17*((Assumptions!$D$96*IF(Assumptions!P$206=2027,1+Assumptions!$F$193,1))/12)</f>
        <v>43002.6325617284</v>
      </c>
      <c r="Q49" s="65" t="n">
        <f aca="false">Q17*((Assumptions!$D$96*IF(Assumptions!Q$206=2027,1+Assumptions!$F$193,1))/12)</f>
        <v>50708.6031055298</v>
      </c>
      <c r="R49" s="65" t="n">
        <f aca="false">R17*((Assumptions!$D$96*IF(Assumptions!R$206=2027,1+Assumptions!$F$193,1))/12)</f>
        <v>50603.3114225982</v>
      </c>
      <c r="S49" s="65" t="n">
        <f aca="false">S17*((Assumptions!$D$96*IF(Assumptions!S$206=2027,1+Assumptions!$F$193,1))/12)</f>
        <v>50498.1347578645</v>
      </c>
      <c r="T49" s="65" t="n">
        <f aca="false">T17*((Assumptions!$D$96*IF(Assumptions!T$206=2027,1+Assumptions!$F$193,1))/12)</f>
        <v>50501.642563659</v>
      </c>
      <c r="U49" s="65" t="n">
        <f aca="false">U17*((Assumptions!$D$96*IF(Assumptions!U$206=2027,1+Assumptions!$F$193,1))/12)</f>
        <v>50503.3370446413</v>
      </c>
      <c r="V49" s="65" t="n">
        <f aca="false">V17*((Assumptions!$D$96*IF(Assumptions!V$206=2027,1+Assumptions!$F$193,1))/12)</f>
        <v>50503.2503398617</v>
      </c>
      <c r="W49" s="65" t="n">
        <f aca="false">W17*((Assumptions!$D$96*IF(Assumptions!W$206=2027,1+Assumptions!$F$193,1))/12)</f>
        <v>50503.2235435916</v>
      </c>
      <c r="X49" s="65" t="n">
        <f aca="false">X17*((Assumptions!$D$96*IF(Assumptions!X$206=2027,1+Assumptions!$F$193,1))/12)</f>
        <v>50503.2254352758</v>
      </c>
      <c r="Y49" s="65" t="n">
        <f aca="false">Y17*((Assumptions!$D$96*IF(Assumptions!Y$206=2027,1+Assumptions!$F$193,1))/12)</f>
        <v>50503.2258503522</v>
      </c>
      <c r="Z49" s="65" t="n">
        <f aca="false">Z17*((Assumptions!$D$96*IF(Assumptions!Z$206=2027,1+Assumptions!$F$193,1))/12)</f>
        <v>50503.2258119062</v>
      </c>
      <c r="AA49" s="65" t="n">
        <f aca="false">AA17*((Assumptions!$D$96*IF(Assumptions!AA$206=2027,1+Assumptions!$F$193,1))/12)</f>
        <v>50503.225805629</v>
      </c>
      <c r="AB49" s="65" t="n">
        <f aca="false">AB17*((Assumptions!$D$96*IF(Assumptions!AB$206=2027,1+Assumptions!$F$193,1))/12)</f>
        <v>50503.2258063744</v>
      </c>
    </row>
    <row r="50" customFormat="false" ht="15" hidden="false" customHeight="false" outlineLevel="0" collapsed="false">
      <c r="A50" s="28" t="s">
        <v>1133</v>
      </c>
      <c r="B50" s="62" t="s">
        <v>1124</v>
      </c>
      <c r="C50" s="64" t="n">
        <f aca="false">SUM(E50:P50)</f>
        <v>138855.324845679</v>
      </c>
      <c r="D50" s="64" t="n">
        <f aca="false">SUM(Q50:AB50)</f>
        <v>149676.934241059</v>
      </c>
      <c r="E50" s="65" t="n">
        <f aca="false">E18*((Assumptions!$D$97*IF(Assumptions!E$206=2027,1+Assumptions!$F$193,1))/12)</f>
        <v>13333.3333333333</v>
      </c>
      <c r="F50" s="65" t="n">
        <f aca="false">F18*((Assumptions!$D$97*IF(Assumptions!F$206=2027,1+Assumptions!$F$193,1))/12)</f>
        <v>13333.3333333333</v>
      </c>
      <c r="G50" s="65" t="n">
        <f aca="false">G18*((Assumptions!$D$97*IF(Assumptions!G$206=2027,1+Assumptions!$F$193,1))/12)</f>
        <v>13333.3333333333</v>
      </c>
      <c r="H50" s="65" t="n">
        <f aca="false">H18*((Assumptions!$D$97*IF(Assumptions!H$206=2027,1+Assumptions!$F$193,1))/12)</f>
        <v>13333.3333333333</v>
      </c>
      <c r="I50" s="65" t="n">
        <f aca="false">I18*((Assumptions!$D$97*IF(Assumptions!I$206=2027,1+Assumptions!$F$193,1))/12)</f>
        <v>13333.3333333333</v>
      </c>
      <c r="J50" s="65" t="n">
        <f aca="false">J18*((Assumptions!$D$97*IF(Assumptions!J$206=2027,1+Assumptions!$F$193,1))/12)</f>
        <v>13333.3333333333</v>
      </c>
      <c r="K50" s="65" t="n">
        <f aca="false">K18*((Assumptions!$D$97*IF(Assumptions!K$206=2027,1+Assumptions!$F$193,1))/12)</f>
        <v>10000</v>
      </c>
      <c r="L50" s="65" t="n">
        <f aca="false">L18*((Assumptions!$D$97*IF(Assumptions!L$206=2027,1+Assumptions!$F$193,1))/12)</f>
        <v>10000</v>
      </c>
      <c r="M50" s="65" t="n">
        <f aca="false">M18*((Assumptions!$D$97*IF(Assumptions!M$206=2027,1+Assumptions!$F$193,1))/12)</f>
        <v>9833.33333333333</v>
      </c>
      <c r="N50" s="65" t="n">
        <f aca="false">N18*((Assumptions!$D$97*IF(Assumptions!N$206=2027,1+Assumptions!$F$193,1))/12)</f>
        <v>9669.44444444445</v>
      </c>
      <c r="O50" s="65" t="n">
        <f aca="false">O18*((Assumptions!$D$97*IF(Assumptions!O$206=2027,1+Assumptions!$F$193,1))/12)</f>
        <v>9674.9537037037</v>
      </c>
      <c r="P50" s="65" t="n">
        <f aca="false">P18*((Assumptions!$D$97*IF(Assumptions!P$206=2027,1+Assumptions!$F$193,1))/12)</f>
        <v>9677.59336419753</v>
      </c>
      <c r="Q50" s="65" t="n">
        <f aca="false">Q18*((Assumptions!$D$97*IF(Assumptions!Q$206=2027,1+Assumptions!$F$193,1))/12)</f>
        <v>9967.78127533436</v>
      </c>
      <c r="R50" s="65" t="n">
        <f aca="false">R18*((Assumptions!$D$97*IF(Assumptions!R$206=2027,1+Assumptions!$F$193,1))/12)</f>
        <v>9967.73829265904</v>
      </c>
      <c r="S50" s="65" t="n">
        <f aca="false">S18*((Assumptions!$D$97*IF(Assumptions!S$206=2027,1+Assumptions!$F$193,1))/12)</f>
        <v>9967.74134053344</v>
      </c>
      <c r="T50" s="65" t="n">
        <f aca="false">T18*((Assumptions!$D$97*IF(Assumptions!T$206=2027,1+Assumptions!$F$193,1))/12)</f>
        <v>13401.0753394468</v>
      </c>
      <c r="U50" s="65" t="n">
        <f aca="false">U18*((Assumptions!$D$97*IF(Assumptions!U$206=2027,1+Assumptions!$F$193,1))/12)</f>
        <v>13343.8530553337</v>
      </c>
      <c r="V50" s="65" t="n">
        <f aca="false">V18*((Assumptions!$D$97*IF(Assumptions!V$206=2027,1+Assumptions!$F$193,1))/12)</f>
        <v>13287.5845267537</v>
      </c>
      <c r="W50" s="65" t="n">
        <f aca="false">W18*((Assumptions!$D$97*IF(Assumptions!W$206=2027,1+Assumptions!$F$193,1))/12)</f>
        <v>13289.4760402985</v>
      </c>
      <c r="X50" s="65" t="n">
        <f aca="false">X18*((Assumptions!$D$97*IF(Assumptions!X$206=2027,1+Assumptions!$F$193,1))/12)</f>
        <v>13290.3823238825</v>
      </c>
      <c r="Y50" s="65" t="n">
        <f aca="false">Y18*((Assumptions!$D$97*IF(Assumptions!Y$206=2027,1+Assumptions!$F$193,1))/12)</f>
        <v>13290.3356939303</v>
      </c>
      <c r="Z50" s="65" t="n">
        <f aca="false">Z18*((Assumptions!$D$97*IF(Assumptions!Z$206=2027,1+Assumptions!$F$193,1))/12)</f>
        <v>13290.3213663698</v>
      </c>
      <c r="AA50" s="65" t="n">
        <f aca="false">AA18*((Assumptions!$D$97*IF(Assumptions!AA$206=2027,1+Assumptions!$F$193,1))/12)</f>
        <v>13290.3223823283</v>
      </c>
      <c r="AB50" s="65" t="n">
        <f aca="false">AB18*((Assumptions!$D$97*IF(Assumptions!AB$206=2027,1+Assumptions!$F$193,1))/12)</f>
        <v>13290.3226041884</v>
      </c>
    </row>
    <row r="51" customFormat="false" ht="15" hidden="false" customHeight="false" outlineLevel="0" collapsed="false">
      <c r="A51" s="28" t="s">
        <v>1134</v>
      </c>
      <c r="B51" s="62" t="s">
        <v>1124</v>
      </c>
      <c r="C51" s="64" t="n">
        <f aca="false">SUM(E51:P51)</f>
        <v>272733.701710391</v>
      </c>
      <c r="D51" s="64" t="n">
        <f aca="false">SUM(Q51:AB51)</f>
        <v>342292.878983055</v>
      </c>
      <c r="E51" s="65" t="n">
        <f aca="false">E19*((Assumptions!$D$98*IF(Assumptions!E$206=2027,1+Assumptions!$F$193,1))/12)</f>
        <v>19333.3333333333</v>
      </c>
      <c r="F51" s="65" t="n">
        <f aca="false">F19*((Assumptions!$D$98*IF(Assumptions!F$206=2027,1+Assumptions!$F$193,1))/12)</f>
        <v>19333.3333333333</v>
      </c>
      <c r="G51" s="65" t="n">
        <f aca="false">G19*((Assumptions!$D$98*IF(Assumptions!G$206=2027,1+Assumptions!$F$193,1))/12)</f>
        <v>19333.3333333333</v>
      </c>
      <c r="H51" s="65" t="n">
        <f aca="false">H19*((Assumptions!$D$98*IF(Assumptions!H$206=2027,1+Assumptions!$F$193,1))/12)</f>
        <v>24166.6666666667</v>
      </c>
      <c r="I51" s="65" t="n">
        <f aca="false">I19*((Assumptions!$D$98*IF(Assumptions!I$206=2027,1+Assumptions!$F$193,1))/12)</f>
        <v>24166.6666666667</v>
      </c>
      <c r="J51" s="65" t="n">
        <f aca="false">J19*((Assumptions!$D$98*IF(Assumptions!J$206=2027,1+Assumptions!$F$193,1))/12)</f>
        <v>24166.6666666667</v>
      </c>
      <c r="K51" s="65" t="n">
        <f aca="false">K19*((Assumptions!$D$98*IF(Assumptions!K$206=2027,1+Assumptions!$F$193,1))/12)</f>
        <v>24166.6666666667</v>
      </c>
      <c r="L51" s="65" t="n">
        <f aca="false">L19*((Assumptions!$D$98*IF(Assumptions!L$206=2027,1+Assumptions!$F$193,1))/12)</f>
        <v>24166.6666666667</v>
      </c>
      <c r="M51" s="65" t="n">
        <f aca="false">M19*((Assumptions!$D$98*IF(Assumptions!M$206=2027,1+Assumptions!$F$193,1))/12)</f>
        <v>23763.8888888889</v>
      </c>
      <c r="N51" s="65" t="n">
        <f aca="false">N19*((Assumptions!$D$98*IF(Assumptions!N$206=2027,1+Assumptions!$F$193,1))/12)</f>
        <v>23367.8240740741</v>
      </c>
      <c r="O51" s="65" t="n">
        <f aca="false">O19*((Assumptions!$D$98*IF(Assumptions!O$206=2027,1+Assumptions!$F$193,1))/12)</f>
        <v>23381.138117284</v>
      </c>
      <c r="P51" s="65" t="n">
        <f aca="false">P19*((Assumptions!$D$98*IF(Assumptions!P$206=2027,1+Assumptions!$F$193,1))/12)</f>
        <v>23387.5172968107</v>
      </c>
      <c r="Q51" s="65" t="n">
        <f aca="false">Q19*((Assumptions!$D$98*IF(Assumptions!Q$206=2027,1+Assumptions!$F$193,1))/12)</f>
        <v>24088.8047487247</v>
      </c>
      <c r="R51" s="65" t="n">
        <f aca="false">R19*((Assumptions!$D$98*IF(Assumptions!R$206=2027,1+Assumptions!$F$193,1))/12)</f>
        <v>29067.0342072593</v>
      </c>
      <c r="S51" s="65" t="n">
        <f aca="false">S19*((Assumptions!$D$98*IF(Assumptions!S$206=2027,1+Assumptions!$F$193,1))/12)</f>
        <v>28984.0693507336</v>
      </c>
      <c r="T51" s="65" t="n">
        <f aca="false">T19*((Assumptions!$D$98*IF(Assumptions!T$206=2027,1+Assumptions!$F$193,1))/12)</f>
        <v>28902.4816073668</v>
      </c>
      <c r="U51" s="65" t="n">
        <f aca="false">U19*((Assumptions!$D$98*IF(Assumptions!U$206=2027,1+Assumptions!$F$193,1))/12)</f>
        <v>28905.2241506983</v>
      </c>
      <c r="V51" s="65" t="n">
        <f aca="false">V19*((Assumptions!$D$98*IF(Assumptions!V$206=2027,1+Assumptions!$F$193,1))/12)</f>
        <v>28906.5382373656</v>
      </c>
      <c r="W51" s="65" t="n">
        <f aca="false">W19*((Assumptions!$D$98*IF(Assumptions!W$206=2027,1+Assumptions!$F$193,1))/12)</f>
        <v>28906.4706268656</v>
      </c>
      <c r="X51" s="65" t="n">
        <f aca="false">X19*((Assumptions!$D$98*IF(Assumptions!X$206=2027,1+Assumptions!$F$193,1))/12)</f>
        <v>28906.4498522628</v>
      </c>
      <c r="Y51" s="65" t="n">
        <f aca="false">Y19*((Assumptions!$D$98*IF(Assumptions!Y$206=2027,1+Assumptions!$F$193,1))/12)</f>
        <v>28906.4513253479</v>
      </c>
      <c r="Z51" s="65" t="n">
        <f aca="false">Z19*((Assumptions!$D$98*IF(Assumptions!Z$206=2027,1+Assumptions!$F$193,1))/12)</f>
        <v>28906.4516470398</v>
      </c>
      <c r="AA51" s="65" t="n">
        <f aca="false">AA19*((Assumptions!$D$98*IF(Assumptions!AA$206=2027,1+Assumptions!$F$193,1))/12)</f>
        <v>28906.4516171269</v>
      </c>
      <c r="AB51" s="65" t="n">
        <f aca="false">AB19*((Assumptions!$D$98*IF(Assumptions!AB$206=2027,1+Assumptions!$F$193,1))/12)</f>
        <v>28906.4516122639</v>
      </c>
    </row>
    <row r="52" customFormat="false" ht="15" hidden="false" customHeight="false" outlineLevel="0" collapsed="false">
      <c r="A52" s="28" t="s">
        <v>1135</v>
      </c>
      <c r="B52" s="62" t="s">
        <v>1124</v>
      </c>
      <c r="C52" s="64" t="n">
        <f aca="false">SUM(E52:P52)</f>
        <v>278919.372885597</v>
      </c>
      <c r="D52" s="64" t="n">
        <f aca="false">SUM(Q52:AB52)</f>
        <v>284605.269496626</v>
      </c>
      <c r="E52" s="65" t="n">
        <f aca="false">E20*((Assumptions!$D$99*IF(Assumptions!E$206=2027,1+Assumptions!$F$193,1))/12)</f>
        <v>23333.3333333333</v>
      </c>
      <c r="F52" s="65" t="n">
        <f aca="false">F20*((Assumptions!$D$99*IF(Assumptions!F$206=2027,1+Assumptions!$F$193,1))/12)</f>
        <v>23333.3333333333</v>
      </c>
      <c r="G52" s="65" t="n">
        <f aca="false">G20*((Assumptions!$D$99*IF(Assumptions!G$206=2027,1+Assumptions!$F$193,1))/12)</f>
        <v>23333.3333333333</v>
      </c>
      <c r="H52" s="65" t="n">
        <f aca="false">H20*((Assumptions!$D$99*IF(Assumptions!H$206=2027,1+Assumptions!$F$193,1))/12)</f>
        <v>23333.3333333333</v>
      </c>
      <c r="I52" s="65" t="n">
        <f aca="false">I20*((Assumptions!$D$99*IF(Assumptions!I$206=2027,1+Assumptions!$F$193,1))/12)</f>
        <v>23333.3333333333</v>
      </c>
      <c r="J52" s="65" t="n">
        <f aca="false">J20*((Assumptions!$D$99*IF(Assumptions!J$206=2027,1+Assumptions!$F$193,1))/12)</f>
        <v>23333.3333333333</v>
      </c>
      <c r="K52" s="65" t="n">
        <f aca="false">K20*((Assumptions!$D$99*IF(Assumptions!K$206=2027,1+Assumptions!$F$193,1))/12)</f>
        <v>23333.3333333333</v>
      </c>
      <c r="L52" s="65" t="n">
        <f aca="false">L20*((Assumptions!$D$99*IF(Assumptions!L$206=2027,1+Assumptions!$F$193,1))/12)</f>
        <v>23333.3333333333</v>
      </c>
      <c r="M52" s="65" t="n">
        <f aca="false">M20*((Assumptions!$D$99*IF(Assumptions!M$206=2027,1+Assumptions!$F$193,1))/12)</f>
        <v>23177.7777777778</v>
      </c>
      <c r="N52" s="65" t="n">
        <f aca="false">N20*((Assumptions!$D$99*IF(Assumptions!N$206=2027,1+Assumptions!$F$193,1))/12)</f>
        <v>23023.2592592593</v>
      </c>
      <c r="O52" s="65" t="n">
        <f aca="false">O20*((Assumptions!$D$99*IF(Assumptions!O$206=2027,1+Assumptions!$F$193,1))/12)</f>
        <v>23025.3264197531</v>
      </c>
      <c r="P52" s="65" t="n">
        <f aca="false">P20*((Assumptions!$D$99*IF(Assumptions!P$206=2027,1+Assumptions!$F$193,1))/12)</f>
        <v>23026.3427621399</v>
      </c>
      <c r="Q52" s="65" t="n">
        <f aca="false">Q20*((Assumptions!$D$99*IF(Assumptions!Q$206=2027,1+Assumptions!$F$193,1))/12)</f>
        <v>23717.1118716177</v>
      </c>
      <c r="R52" s="65" t="n">
        <f aca="false">R20*((Assumptions!$D$99*IF(Assumptions!R$206=2027,1+Assumptions!$F$193,1))/12)</f>
        <v>23717.1050338892</v>
      </c>
      <c r="S52" s="65" t="n">
        <f aca="false">S20*((Assumptions!$D$99*IF(Assumptions!S$206=2027,1+Assumptions!$F$193,1))/12)</f>
        <v>23717.10522063</v>
      </c>
      <c r="T52" s="65" t="n">
        <f aca="false">T20*((Assumptions!$D$99*IF(Assumptions!T$206=2027,1+Assumptions!$F$193,1))/12)</f>
        <v>23717.1052649699</v>
      </c>
      <c r="U52" s="65" t="n">
        <f aca="false">U20*((Assumptions!$D$99*IF(Assumptions!U$206=2027,1+Assumptions!$F$193,1))/12)</f>
        <v>23717.1052634293</v>
      </c>
      <c r="V52" s="65" t="n">
        <f aca="false">V20*((Assumptions!$D$99*IF(Assumptions!V$206=2027,1+Assumptions!$F$193,1))/12)</f>
        <v>23717.105263144</v>
      </c>
      <c r="W52" s="65" t="n">
        <f aca="false">W20*((Assumptions!$D$99*IF(Assumptions!W$206=2027,1+Assumptions!$F$193,1))/12)</f>
        <v>23717.1052631562</v>
      </c>
      <c r="X52" s="65" t="n">
        <f aca="false">X20*((Assumptions!$D$99*IF(Assumptions!X$206=2027,1+Assumptions!$F$193,1))/12)</f>
        <v>23717.105263158</v>
      </c>
      <c r="Y52" s="65" t="n">
        <f aca="false">Y20*((Assumptions!$D$99*IF(Assumptions!Y$206=2027,1+Assumptions!$F$193,1))/12)</f>
        <v>23717.1052631579</v>
      </c>
      <c r="Z52" s="65" t="n">
        <f aca="false">Z20*((Assumptions!$D$99*IF(Assumptions!Z$206=2027,1+Assumptions!$F$193,1))/12)</f>
        <v>23717.1052631579</v>
      </c>
      <c r="AA52" s="65" t="n">
        <f aca="false">AA20*((Assumptions!$D$99*IF(Assumptions!AA$206=2027,1+Assumptions!$F$193,1))/12)</f>
        <v>23717.1052631579</v>
      </c>
      <c r="AB52" s="65" t="n">
        <f aca="false">AB20*((Assumptions!$D$99*IF(Assumptions!AB$206=2027,1+Assumptions!$F$193,1))/12)</f>
        <v>23717.1052631579</v>
      </c>
    </row>
    <row r="53" customFormat="false" ht="15" hidden="false" customHeight="false" outlineLevel="0" collapsed="false">
      <c r="A53" s="28" t="s">
        <v>1136</v>
      </c>
      <c r="B53" s="62" t="s">
        <v>1124</v>
      </c>
      <c r="C53" s="64" t="n">
        <f aca="false">SUM(E53:P53)</f>
        <v>290508.851901235</v>
      </c>
      <c r="D53" s="64" t="n">
        <f aca="false">SUM(Q53:AB53)</f>
        <v>330428.990998251</v>
      </c>
      <c r="E53" s="65" t="n">
        <f aca="false">E21*((Assumptions!$D$100*IF(Assumptions!E$206=2027,1+Assumptions!$F$193,1))/12)</f>
        <v>20833.3333333333</v>
      </c>
      <c r="F53" s="65" t="n">
        <f aca="false">F21*((Assumptions!$D$100*IF(Assumptions!F$206=2027,1+Assumptions!$F$193,1))/12)</f>
        <v>20833.3333333333</v>
      </c>
      <c r="G53" s="65" t="n">
        <f aca="false">G21*((Assumptions!$D$100*IF(Assumptions!G$206=2027,1+Assumptions!$F$193,1))/12)</f>
        <v>25000</v>
      </c>
      <c r="H53" s="65" t="n">
        <f aca="false">H21*((Assumptions!$D$100*IF(Assumptions!H$206=2027,1+Assumptions!$F$193,1))/12)</f>
        <v>25000</v>
      </c>
      <c r="I53" s="65" t="n">
        <f aca="false">I21*((Assumptions!$D$100*IF(Assumptions!I$206=2027,1+Assumptions!$F$193,1))/12)</f>
        <v>25000</v>
      </c>
      <c r="J53" s="65" t="n">
        <f aca="false">J21*((Assumptions!$D$100*IF(Assumptions!J$206=2027,1+Assumptions!$F$193,1))/12)</f>
        <v>25000</v>
      </c>
      <c r="K53" s="65" t="n">
        <f aca="false">K21*((Assumptions!$D$100*IF(Assumptions!K$206=2027,1+Assumptions!$F$193,1))/12)</f>
        <v>25000</v>
      </c>
      <c r="L53" s="65" t="n">
        <f aca="false">L21*((Assumptions!$D$100*IF(Assumptions!L$206=2027,1+Assumptions!$F$193,1))/12)</f>
        <v>25000</v>
      </c>
      <c r="M53" s="65" t="n">
        <f aca="false">M21*((Assumptions!$D$100*IF(Assumptions!M$206=2027,1+Assumptions!$F$193,1))/12)</f>
        <v>24833.3333333333</v>
      </c>
      <c r="N53" s="65" t="n">
        <f aca="false">N21*((Assumptions!$D$100*IF(Assumptions!N$206=2027,1+Assumptions!$F$193,1))/12)</f>
        <v>24667.7777777778</v>
      </c>
      <c r="O53" s="65" t="n">
        <f aca="false">O21*((Assumptions!$D$100*IF(Assumptions!O$206=2027,1+Assumptions!$F$193,1))/12)</f>
        <v>24669.9925925926</v>
      </c>
      <c r="P53" s="65" t="n">
        <f aca="false">P21*((Assumptions!$D$100*IF(Assumptions!P$206=2027,1+Assumptions!$F$193,1))/12)</f>
        <v>24671.0815308642</v>
      </c>
      <c r="Q53" s="65" t="n">
        <f aca="false">Q21*((Assumptions!$D$100*IF(Assumptions!Q$206=2027,1+Assumptions!$F$193,1))/12)</f>
        <v>25411.1912910189</v>
      </c>
      <c r="R53" s="65" t="n">
        <f aca="false">R21*((Assumptions!$D$100*IF(Assumptions!R$206=2027,1+Assumptions!$F$193,1))/12)</f>
        <v>25411.1839648813</v>
      </c>
      <c r="S53" s="65" t="n">
        <f aca="false">S21*((Assumptions!$D$100*IF(Assumptions!S$206=2027,1+Assumptions!$F$193,1))/12)</f>
        <v>25411.1841649607</v>
      </c>
      <c r="T53" s="65" t="n">
        <f aca="false">T21*((Assumptions!$D$100*IF(Assumptions!T$206=2027,1+Assumptions!$F$193,1))/12)</f>
        <v>25411.1842124677</v>
      </c>
      <c r="U53" s="65" t="n">
        <f aca="false">U21*((Assumptions!$D$100*IF(Assumptions!U$206=2027,1+Assumptions!$F$193,1))/12)</f>
        <v>25411.1842108171</v>
      </c>
      <c r="V53" s="65" t="n">
        <f aca="false">V21*((Assumptions!$D$100*IF(Assumptions!V$206=2027,1+Assumptions!$F$193,1))/12)</f>
        <v>25411.1842105114</v>
      </c>
      <c r="W53" s="65" t="n">
        <f aca="false">W21*((Assumptions!$D$100*IF(Assumptions!W$206=2027,1+Assumptions!$F$193,1))/12)</f>
        <v>29702.8508771911</v>
      </c>
      <c r="X53" s="65" t="n">
        <f aca="false">X21*((Assumptions!$D$100*IF(Assumptions!X$206=2027,1+Assumptions!$F$193,1))/12)</f>
        <v>29674.239766082</v>
      </c>
      <c r="Y53" s="65" t="n">
        <f aca="false">Y21*((Assumptions!$D$100*IF(Assumptions!Y$206=2027,1+Assumptions!$F$193,1))/12)</f>
        <v>29645.8193957115</v>
      </c>
      <c r="Z53" s="65" t="n">
        <f aca="false">Z21*((Assumptions!$D$100*IF(Assumptions!Z$206=2027,1+Assumptions!$F$193,1))/12)</f>
        <v>29646.199605588</v>
      </c>
      <c r="AA53" s="65" t="n">
        <f aca="false">AA21*((Assumptions!$D$100*IF(Assumptions!AA$206=2027,1+Assumptions!$F$193,1))/12)</f>
        <v>29646.3865399913</v>
      </c>
      <c r="AB53" s="65" t="n">
        <f aca="false">AB21*((Assumptions!$D$100*IF(Assumptions!AB$206=2027,1+Assumptions!$F$193,1))/12)</f>
        <v>29646.3827590295</v>
      </c>
    </row>
    <row r="54" customFormat="false" ht="15" hidden="false" customHeight="false" outlineLevel="0" collapsed="false">
      <c r="A54" s="28" t="s">
        <v>1137</v>
      </c>
      <c r="B54" s="62" t="s">
        <v>1138</v>
      </c>
      <c r="C54" s="117" t="n">
        <f aca="false">AVERAGE(E54:P54)</f>
        <v>0</v>
      </c>
      <c r="D54" s="117" t="n">
        <f aca="false">AVERAGE(Q54:AB54)</f>
        <v>0</v>
      </c>
      <c r="E54" s="99" t="n">
        <f aca="false">IF((Assumptions!$D$88*IF(Assumptions!E$206=2027,1+Assumptions!$F$193,1))&lt;3*Assumptions!E$223*12,Assumptions!$C$73+Assumptions!$C$74*(0.5*(3*Assumptions!E$223*12/(Assumptions!$D$88*IF(Assumptions!E$206=2027,1+Assumptions!$F$193,1))-1))^Assumptions!$C$75,0)</f>
        <v>0</v>
      </c>
      <c r="F54" s="99" t="n">
        <f aca="false">IF((Assumptions!$D$88*IF(Assumptions!F$206=2027,1+Assumptions!$F$193,1))&lt;3*Assumptions!F$223*12,Assumptions!$C$73+Assumptions!$C$74*(0.5*(3*Assumptions!F$223*12/(Assumptions!$D$88*IF(Assumptions!F$206=2027,1+Assumptions!$F$193,1))-1))^Assumptions!$C$75,0)</f>
        <v>0</v>
      </c>
      <c r="G54" s="99" t="n">
        <f aca="false">IF((Assumptions!$D$88*IF(Assumptions!G$206=2027,1+Assumptions!$F$193,1))&lt;3*Assumptions!G$223*12,Assumptions!$C$73+Assumptions!$C$74*(0.5*(3*Assumptions!G$223*12/(Assumptions!$D$88*IF(Assumptions!G$206=2027,1+Assumptions!$F$193,1))-1))^Assumptions!$C$75,0)</f>
        <v>0</v>
      </c>
      <c r="H54" s="99" t="n">
        <f aca="false">IF((Assumptions!$D$88*IF(Assumptions!H$206=2027,1+Assumptions!$F$193,1))&lt;3*Assumptions!H$223*12,Assumptions!$C$73+Assumptions!$C$74*(0.5*(3*Assumptions!H$223*12/(Assumptions!$D$88*IF(Assumptions!H$206=2027,1+Assumptions!$F$193,1))-1))^Assumptions!$C$75,0)</f>
        <v>0</v>
      </c>
      <c r="I54" s="99" t="n">
        <f aca="false">IF((Assumptions!$D$88*IF(Assumptions!I$206=2027,1+Assumptions!$F$193,1))&lt;3*Assumptions!I$223*12,Assumptions!$C$73+Assumptions!$C$74*(0.5*(3*Assumptions!I$223*12/(Assumptions!$D$88*IF(Assumptions!I$206=2027,1+Assumptions!$F$193,1))-1))^Assumptions!$C$75,0)</f>
        <v>0</v>
      </c>
      <c r="J54" s="99" t="n">
        <f aca="false">IF((Assumptions!$D$88*IF(Assumptions!J$206=2027,1+Assumptions!$F$193,1))&lt;3*Assumptions!J$223*12,Assumptions!$C$73+Assumptions!$C$74*(0.5*(3*Assumptions!J$223*12/(Assumptions!$D$88*IF(Assumptions!J$206=2027,1+Assumptions!$F$193,1))-1))^Assumptions!$C$75,0)</f>
        <v>0</v>
      </c>
      <c r="K54" s="99" t="n">
        <f aca="false">IF((Assumptions!$D$88*IF(Assumptions!K$206=2027,1+Assumptions!$F$193,1))&lt;3*Assumptions!K$223*12,Assumptions!$C$73+Assumptions!$C$74*(0.5*(3*Assumptions!K$223*12/(Assumptions!$D$88*IF(Assumptions!K$206=2027,1+Assumptions!$F$193,1))-1))^Assumptions!$C$75,0)</f>
        <v>0</v>
      </c>
      <c r="L54" s="99" t="n">
        <f aca="false">IF((Assumptions!$D$88*IF(Assumptions!L$206=2027,1+Assumptions!$F$193,1))&lt;3*Assumptions!L$223*12,Assumptions!$C$73+Assumptions!$C$74*(0.5*(3*Assumptions!L$223*12/(Assumptions!$D$88*IF(Assumptions!L$206=2027,1+Assumptions!$F$193,1))-1))^Assumptions!$C$75,0)</f>
        <v>0</v>
      </c>
      <c r="M54" s="99" t="n">
        <f aca="false">IF((Assumptions!$D$88*IF(Assumptions!M$206=2027,1+Assumptions!$F$193,1))&lt;3*Assumptions!M$223*12,Assumptions!$C$73+Assumptions!$C$74*(0.5*(3*Assumptions!M$223*12/(Assumptions!$D$88*IF(Assumptions!M$206=2027,1+Assumptions!$F$193,1))-1))^Assumptions!$C$75,0)</f>
        <v>0</v>
      </c>
      <c r="N54" s="99" t="n">
        <f aca="false">IF((Assumptions!$D$88*IF(Assumptions!N$206=2027,1+Assumptions!$F$193,1))&lt;3*Assumptions!N$223*12,Assumptions!$C$73+Assumptions!$C$74*(0.5*(3*Assumptions!N$223*12/(Assumptions!$D$88*IF(Assumptions!N$206=2027,1+Assumptions!$F$193,1))-1))^Assumptions!$C$75,0)</f>
        <v>0</v>
      </c>
      <c r="O54" s="99" t="n">
        <f aca="false">IF((Assumptions!$D$88*IF(Assumptions!O$206=2027,1+Assumptions!$F$193,1))&lt;3*Assumptions!O$223*12,Assumptions!$C$73+Assumptions!$C$74*(0.5*(3*Assumptions!O$223*12/(Assumptions!$D$88*IF(Assumptions!O$206=2027,1+Assumptions!$F$193,1))-1))^Assumptions!$C$75,0)</f>
        <v>0</v>
      </c>
      <c r="P54" s="99" t="n">
        <f aca="false">IF((Assumptions!$D$88*IF(Assumptions!P$206=2027,1+Assumptions!$F$193,1))&lt;3*Assumptions!P$223*12,Assumptions!$C$73+Assumptions!$C$74*(0.5*(3*Assumptions!P$223*12/(Assumptions!$D$88*IF(Assumptions!P$206=2027,1+Assumptions!$F$193,1))-1))^Assumptions!$C$75,0)</f>
        <v>0</v>
      </c>
      <c r="Q54" s="99" t="n">
        <f aca="false">IF((Assumptions!$D$88*IF(Assumptions!Q$206=2027,1+Assumptions!$F$193,1))&lt;3*Assumptions!Q$223*12,Assumptions!$C$73+Assumptions!$C$74*(0.5*(3*Assumptions!Q$223*12/(Assumptions!$D$88*IF(Assumptions!Q$206=2027,1+Assumptions!$F$193,1))-1))^Assumptions!$C$75,0)</f>
        <v>0</v>
      </c>
      <c r="R54" s="99" t="n">
        <f aca="false">IF((Assumptions!$D$88*IF(Assumptions!R$206=2027,1+Assumptions!$F$193,1))&lt;3*Assumptions!R$223*12,Assumptions!$C$73+Assumptions!$C$74*(0.5*(3*Assumptions!R$223*12/(Assumptions!$D$88*IF(Assumptions!R$206=2027,1+Assumptions!$F$193,1))-1))^Assumptions!$C$75,0)</f>
        <v>0</v>
      </c>
      <c r="S54" s="99" t="n">
        <f aca="false">IF((Assumptions!$D$88*IF(Assumptions!S$206=2027,1+Assumptions!$F$193,1))&lt;3*Assumptions!S$223*12,Assumptions!$C$73+Assumptions!$C$74*(0.5*(3*Assumptions!S$223*12/(Assumptions!$D$88*IF(Assumptions!S$206=2027,1+Assumptions!$F$193,1))-1))^Assumptions!$C$75,0)</f>
        <v>0</v>
      </c>
      <c r="T54" s="99" t="n">
        <f aca="false">IF((Assumptions!$D$88*IF(Assumptions!T$206=2027,1+Assumptions!$F$193,1))&lt;3*Assumptions!T$223*12,Assumptions!$C$73+Assumptions!$C$74*(0.5*(3*Assumptions!T$223*12/(Assumptions!$D$88*IF(Assumptions!T$206=2027,1+Assumptions!$F$193,1))-1))^Assumptions!$C$75,0)</f>
        <v>0</v>
      </c>
      <c r="U54" s="99" t="n">
        <f aca="false">IF((Assumptions!$D$88*IF(Assumptions!U$206=2027,1+Assumptions!$F$193,1))&lt;3*Assumptions!U$223*12,Assumptions!$C$73+Assumptions!$C$74*(0.5*(3*Assumptions!U$223*12/(Assumptions!$D$88*IF(Assumptions!U$206=2027,1+Assumptions!$F$193,1))-1))^Assumptions!$C$75,0)</f>
        <v>0</v>
      </c>
      <c r="V54" s="99" t="n">
        <f aca="false">IF((Assumptions!$D$88*IF(Assumptions!V$206=2027,1+Assumptions!$F$193,1))&lt;3*Assumptions!V$223*12,Assumptions!$C$73+Assumptions!$C$74*(0.5*(3*Assumptions!V$223*12/(Assumptions!$D$88*IF(Assumptions!V$206=2027,1+Assumptions!$F$193,1))-1))^Assumptions!$C$75,0)</f>
        <v>0</v>
      </c>
      <c r="W54" s="99" t="n">
        <f aca="false">IF((Assumptions!$D$88*IF(Assumptions!W$206=2027,1+Assumptions!$F$193,1))&lt;3*Assumptions!W$223*12,Assumptions!$C$73+Assumptions!$C$74*(0.5*(3*Assumptions!W$223*12/(Assumptions!$D$88*IF(Assumptions!W$206=2027,1+Assumptions!$F$193,1))-1))^Assumptions!$C$75,0)</f>
        <v>0</v>
      </c>
      <c r="X54" s="99" t="n">
        <f aca="false">IF((Assumptions!$D$88*IF(Assumptions!X$206=2027,1+Assumptions!$F$193,1))&lt;3*Assumptions!X$223*12,Assumptions!$C$73+Assumptions!$C$74*(0.5*(3*Assumptions!X$223*12/(Assumptions!$D$88*IF(Assumptions!X$206=2027,1+Assumptions!$F$193,1))-1))^Assumptions!$C$75,0)</f>
        <v>0</v>
      </c>
      <c r="Y54" s="99" t="n">
        <f aca="false">IF((Assumptions!$D$88*IF(Assumptions!Y$206=2027,1+Assumptions!$F$193,1))&lt;3*Assumptions!Y$223*12,Assumptions!$C$73+Assumptions!$C$74*(0.5*(3*Assumptions!Y$223*12/(Assumptions!$D$88*IF(Assumptions!Y$206=2027,1+Assumptions!$F$193,1))-1))^Assumptions!$C$75,0)</f>
        <v>0</v>
      </c>
      <c r="Z54" s="99" t="n">
        <f aca="false">IF((Assumptions!$D$88*IF(Assumptions!Z$206=2027,1+Assumptions!$F$193,1))&lt;3*Assumptions!Z$223*12,Assumptions!$C$73+Assumptions!$C$74*(0.5*(3*Assumptions!Z$223*12/(Assumptions!$D$88*IF(Assumptions!Z$206=2027,1+Assumptions!$F$193,1))-1))^Assumptions!$C$75,0)</f>
        <v>0</v>
      </c>
      <c r="AA54" s="99" t="n">
        <f aca="false">IF((Assumptions!$D$88*IF(Assumptions!AA$206=2027,1+Assumptions!$F$193,1))&lt;3*Assumptions!AA$223*12,Assumptions!$C$73+Assumptions!$C$74*(0.5*(3*Assumptions!AA$223*12/(Assumptions!$D$88*IF(Assumptions!AA$206=2027,1+Assumptions!$F$193,1))-1))^Assumptions!$C$75,0)</f>
        <v>0</v>
      </c>
      <c r="AB54" s="99" t="n">
        <f aca="false">IF((Assumptions!$D$88*IF(Assumptions!AB$206=2027,1+Assumptions!$F$193,1))&lt;3*Assumptions!AB$223*12,Assumptions!$C$73+Assumptions!$C$74*(0.5*(3*Assumptions!AB$223*12/(Assumptions!$D$88*IF(Assumptions!AB$206=2027,1+Assumptions!$F$193,1))-1))^Assumptions!$C$75,0)</f>
        <v>0</v>
      </c>
    </row>
    <row r="55" customFormat="false" ht="15" hidden="false" customHeight="false" outlineLevel="0" collapsed="false">
      <c r="A55" s="28" t="s">
        <v>1139</v>
      </c>
      <c r="B55" s="62" t="s">
        <v>1138</v>
      </c>
      <c r="C55" s="117" t="n">
        <f aca="false">AVERAGE(E55:P55)</f>
        <v>0</v>
      </c>
      <c r="D55" s="117" t="n">
        <f aca="false">AVERAGE(Q55:AB55)</f>
        <v>0</v>
      </c>
      <c r="E55" s="99" t="n">
        <f aca="false">IF((Assumptions!$D$89*IF(Assumptions!E$206=2027,1+Assumptions!$F$193,1))&lt;3*Assumptions!E$223*12,Assumptions!$C$73+Assumptions!$C$74*(0.5*(3*Assumptions!E$223*12/(Assumptions!$D$89*IF(Assumptions!E$206=2027,1+Assumptions!$F$193,1))-1))^Assumptions!$C$75,0)</f>
        <v>0</v>
      </c>
      <c r="F55" s="99" t="n">
        <f aca="false">IF((Assumptions!$D$89*IF(Assumptions!F$206=2027,1+Assumptions!$F$193,1))&lt;3*Assumptions!F$223*12,Assumptions!$C$73+Assumptions!$C$74*(0.5*(3*Assumptions!F$223*12/(Assumptions!$D$89*IF(Assumptions!F$206=2027,1+Assumptions!$F$193,1))-1))^Assumptions!$C$75,0)</f>
        <v>0</v>
      </c>
      <c r="G55" s="99" t="n">
        <f aca="false">IF((Assumptions!$D$89*IF(Assumptions!G$206=2027,1+Assumptions!$F$193,1))&lt;3*Assumptions!G$223*12,Assumptions!$C$73+Assumptions!$C$74*(0.5*(3*Assumptions!G$223*12/(Assumptions!$D$89*IF(Assumptions!G$206=2027,1+Assumptions!$F$193,1))-1))^Assumptions!$C$75,0)</f>
        <v>0</v>
      </c>
      <c r="H55" s="99" t="n">
        <f aca="false">IF((Assumptions!$D$89*IF(Assumptions!H$206=2027,1+Assumptions!$F$193,1))&lt;3*Assumptions!H$223*12,Assumptions!$C$73+Assumptions!$C$74*(0.5*(3*Assumptions!H$223*12/(Assumptions!$D$89*IF(Assumptions!H$206=2027,1+Assumptions!$F$193,1))-1))^Assumptions!$C$75,0)</f>
        <v>0</v>
      </c>
      <c r="I55" s="99" t="n">
        <f aca="false">IF((Assumptions!$D$89*IF(Assumptions!I$206=2027,1+Assumptions!$F$193,1))&lt;3*Assumptions!I$223*12,Assumptions!$C$73+Assumptions!$C$74*(0.5*(3*Assumptions!I$223*12/(Assumptions!$D$89*IF(Assumptions!I$206=2027,1+Assumptions!$F$193,1))-1))^Assumptions!$C$75,0)</f>
        <v>0</v>
      </c>
      <c r="J55" s="99" t="n">
        <f aca="false">IF((Assumptions!$D$89*IF(Assumptions!J$206=2027,1+Assumptions!$F$193,1))&lt;3*Assumptions!J$223*12,Assumptions!$C$73+Assumptions!$C$74*(0.5*(3*Assumptions!J$223*12/(Assumptions!$D$89*IF(Assumptions!J$206=2027,1+Assumptions!$F$193,1))-1))^Assumptions!$C$75,0)</f>
        <v>0</v>
      </c>
      <c r="K55" s="99" t="n">
        <f aca="false">IF((Assumptions!$D$89*IF(Assumptions!K$206=2027,1+Assumptions!$F$193,1))&lt;3*Assumptions!K$223*12,Assumptions!$C$73+Assumptions!$C$74*(0.5*(3*Assumptions!K$223*12/(Assumptions!$D$89*IF(Assumptions!K$206=2027,1+Assumptions!$F$193,1))-1))^Assumptions!$C$75,0)</f>
        <v>0</v>
      </c>
      <c r="L55" s="99" t="n">
        <f aca="false">IF((Assumptions!$D$89*IF(Assumptions!L$206=2027,1+Assumptions!$F$193,1))&lt;3*Assumptions!L$223*12,Assumptions!$C$73+Assumptions!$C$74*(0.5*(3*Assumptions!L$223*12/(Assumptions!$D$89*IF(Assumptions!L$206=2027,1+Assumptions!$F$193,1))-1))^Assumptions!$C$75,0)</f>
        <v>0</v>
      </c>
      <c r="M55" s="99" t="n">
        <f aca="false">IF((Assumptions!$D$89*IF(Assumptions!M$206=2027,1+Assumptions!$F$193,1))&lt;3*Assumptions!M$223*12,Assumptions!$C$73+Assumptions!$C$74*(0.5*(3*Assumptions!M$223*12/(Assumptions!$D$89*IF(Assumptions!M$206=2027,1+Assumptions!$F$193,1))-1))^Assumptions!$C$75,0)</f>
        <v>0</v>
      </c>
      <c r="N55" s="99" t="n">
        <f aca="false">IF((Assumptions!$D$89*IF(Assumptions!N$206=2027,1+Assumptions!$F$193,1))&lt;3*Assumptions!N$223*12,Assumptions!$C$73+Assumptions!$C$74*(0.5*(3*Assumptions!N$223*12/(Assumptions!$D$89*IF(Assumptions!N$206=2027,1+Assumptions!$F$193,1))-1))^Assumptions!$C$75,0)</f>
        <v>0</v>
      </c>
      <c r="O55" s="99" t="n">
        <f aca="false">IF((Assumptions!$D$89*IF(Assumptions!O$206=2027,1+Assumptions!$F$193,1))&lt;3*Assumptions!O$223*12,Assumptions!$C$73+Assumptions!$C$74*(0.5*(3*Assumptions!O$223*12/(Assumptions!$D$89*IF(Assumptions!O$206=2027,1+Assumptions!$F$193,1))-1))^Assumptions!$C$75,0)</f>
        <v>0</v>
      </c>
      <c r="P55" s="99" t="n">
        <f aca="false">IF((Assumptions!$D$89*IF(Assumptions!P$206=2027,1+Assumptions!$F$193,1))&lt;3*Assumptions!P$223*12,Assumptions!$C$73+Assumptions!$C$74*(0.5*(3*Assumptions!P$223*12/(Assumptions!$D$89*IF(Assumptions!P$206=2027,1+Assumptions!$F$193,1))-1))^Assumptions!$C$75,0)</f>
        <v>0</v>
      </c>
      <c r="Q55" s="99" t="n">
        <f aca="false">IF((Assumptions!$D$89*IF(Assumptions!Q$206=2027,1+Assumptions!$F$193,1))&lt;3*Assumptions!Q$223*12,Assumptions!$C$73+Assumptions!$C$74*(0.5*(3*Assumptions!Q$223*12/(Assumptions!$D$89*IF(Assumptions!Q$206=2027,1+Assumptions!$F$193,1))-1))^Assumptions!$C$75,0)</f>
        <v>0</v>
      </c>
      <c r="R55" s="99" t="n">
        <f aca="false">IF((Assumptions!$D$89*IF(Assumptions!R$206=2027,1+Assumptions!$F$193,1))&lt;3*Assumptions!R$223*12,Assumptions!$C$73+Assumptions!$C$74*(0.5*(3*Assumptions!R$223*12/(Assumptions!$D$89*IF(Assumptions!R$206=2027,1+Assumptions!$F$193,1))-1))^Assumptions!$C$75,0)</f>
        <v>0</v>
      </c>
      <c r="S55" s="99" t="n">
        <f aca="false">IF((Assumptions!$D$89*IF(Assumptions!S$206=2027,1+Assumptions!$F$193,1))&lt;3*Assumptions!S$223*12,Assumptions!$C$73+Assumptions!$C$74*(0.5*(3*Assumptions!S$223*12/(Assumptions!$D$89*IF(Assumptions!S$206=2027,1+Assumptions!$F$193,1))-1))^Assumptions!$C$75,0)</f>
        <v>0</v>
      </c>
      <c r="T55" s="99" t="n">
        <f aca="false">IF((Assumptions!$D$89*IF(Assumptions!T$206=2027,1+Assumptions!$F$193,1))&lt;3*Assumptions!T$223*12,Assumptions!$C$73+Assumptions!$C$74*(0.5*(3*Assumptions!T$223*12/(Assumptions!$D$89*IF(Assumptions!T$206=2027,1+Assumptions!$F$193,1))-1))^Assumptions!$C$75,0)</f>
        <v>0</v>
      </c>
      <c r="U55" s="99" t="n">
        <f aca="false">IF((Assumptions!$D$89*IF(Assumptions!U$206=2027,1+Assumptions!$F$193,1))&lt;3*Assumptions!U$223*12,Assumptions!$C$73+Assumptions!$C$74*(0.5*(3*Assumptions!U$223*12/(Assumptions!$D$89*IF(Assumptions!U$206=2027,1+Assumptions!$F$193,1))-1))^Assumptions!$C$75,0)</f>
        <v>0</v>
      </c>
      <c r="V55" s="99" t="n">
        <f aca="false">IF((Assumptions!$D$89*IF(Assumptions!V$206=2027,1+Assumptions!$F$193,1))&lt;3*Assumptions!V$223*12,Assumptions!$C$73+Assumptions!$C$74*(0.5*(3*Assumptions!V$223*12/(Assumptions!$D$89*IF(Assumptions!V$206=2027,1+Assumptions!$F$193,1))-1))^Assumptions!$C$75,0)</f>
        <v>0</v>
      </c>
      <c r="W55" s="99" t="n">
        <f aca="false">IF((Assumptions!$D$89*IF(Assumptions!W$206=2027,1+Assumptions!$F$193,1))&lt;3*Assumptions!W$223*12,Assumptions!$C$73+Assumptions!$C$74*(0.5*(3*Assumptions!W$223*12/(Assumptions!$D$89*IF(Assumptions!W$206=2027,1+Assumptions!$F$193,1))-1))^Assumptions!$C$75,0)</f>
        <v>0</v>
      </c>
      <c r="X55" s="99" t="n">
        <f aca="false">IF((Assumptions!$D$89*IF(Assumptions!X$206=2027,1+Assumptions!$F$193,1))&lt;3*Assumptions!X$223*12,Assumptions!$C$73+Assumptions!$C$74*(0.5*(3*Assumptions!X$223*12/(Assumptions!$D$89*IF(Assumptions!X$206=2027,1+Assumptions!$F$193,1))-1))^Assumptions!$C$75,0)</f>
        <v>0</v>
      </c>
      <c r="Y55" s="99" t="n">
        <f aca="false">IF((Assumptions!$D$89*IF(Assumptions!Y$206=2027,1+Assumptions!$F$193,1))&lt;3*Assumptions!Y$223*12,Assumptions!$C$73+Assumptions!$C$74*(0.5*(3*Assumptions!Y$223*12/(Assumptions!$D$89*IF(Assumptions!Y$206=2027,1+Assumptions!$F$193,1))-1))^Assumptions!$C$75,0)</f>
        <v>0</v>
      </c>
      <c r="Z55" s="99" t="n">
        <f aca="false">IF((Assumptions!$D$89*IF(Assumptions!Z$206=2027,1+Assumptions!$F$193,1))&lt;3*Assumptions!Z$223*12,Assumptions!$C$73+Assumptions!$C$74*(0.5*(3*Assumptions!Z$223*12/(Assumptions!$D$89*IF(Assumptions!Z$206=2027,1+Assumptions!$F$193,1))-1))^Assumptions!$C$75,0)</f>
        <v>0</v>
      </c>
      <c r="AA55" s="99" t="n">
        <f aca="false">IF((Assumptions!$D$89*IF(Assumptions!AA$206=2027,1+Assumptions!$F$193,1))&lt;3*Assumptions!AA$223*12,Assumptions!$C$73+Assumptions!$C$74*(0.5*(3*Assumptions!AA$223*12/(Assumptions!$D$89*IF(Assumptions!AA$206=2027,1+Assumptions!$F$193,1))-1))^Assumptions!$C$75,0)</f>
        <v>0</v>
      </c>
      <c r="AB55" s="99" t="n">
        <f aca="false">IF((Assumptions!$D$89*IF(Assumptions!AB$206=2027,1+Assumptions!$F$193,1))&lt;3*Assumptions!AB$223*12,Assumptions!$C$73+Assumptions!$C$74*(0.5*(3*Assumptions!AB$223*12/(Assumptions!$D$89*IF(Assumptions!AB$206=2027,1+Assumptions!$F$193,1))-1))^Assumptions!$C$75,0)</f>
        <v>0</v>
      </c>
    </row>
    <row r="56" customFormat="false" ht="15" hidden="false" customHeight="false" outlineLevel="0" collapsed="false">
      <c r="A56" s="28" t="s">
        <v>1140</v>
      </c>
      <c r="B56" s="62" t="s">
        <v>1138</v>
      </c>
      <c r="C56" s="117" t="n">
        <f aca="false">AVERAGE(E56:P56)</f>
        <v>0</v>
      </c>
      <c r="D56" s="117" t="n">
        <f aca="false">AVERAGE(Q56:AB56)</f>
        <v>0</v>
      </c>
      <c r="E56" s="99" t="n">
        <f aca="false">IF((Assumptions!$D$90*IF(Assumptions!E$206=2027,1+Assumptions!$F$193,1))&lt;3*Assumptions!E$223*12,Assumptions!$C$73+Assumptions!$C$74*(0.5*(3*Assumptions!E$223*12/(Assumptions!$D$90*IF(Assumptions!E$206=2027,1+Assumptions!$F$193,1))-1))^Assumptions!$C$75,0)</f>
        <v>0</v>
      </c>
      <c r="F56" s="99" t="n">
        <f aca="false">IF((Assumptions!$D$90*IF(Assumptions!F$206=2027,1+Assumptions!$F$193,1))&lt;3*Assumptions!F$223*12,Assumptions!$C$73+Assumptions!$C$74*(0.5*(3*Assumptions!F$223*12/(Assumptions!$D$90*IF(Assumptions!F$206=2027,1+Assumptions!$F$193,1))-1))^Assumptions!$C$75,0)</f>
        <v>0</v>
      </c>
      <c r="G56" s="99" t="n">
        <f aca="false">IF((Assumptions!$D$90*IF(Assumptions!G$206=2027,1+Assumptions!$F$193,1))&lt;3*Assumptions!G$223*12,Assumptions!$C$73+Assumptions!$C$74*(0.5*(3*Assumptions!G$223*12/(Assumptions!$D$90*IF(Assumptions!G$206=2027,1+Assumptions!$F$193,1))-1))^Assumptions!$C$75,0)</f>
        <v>0</v>
      </c>
      <c r="H56" s="99" t="n">
        <f aca="false">IF((Assumptions!$D$90*IF(Assumptions!H$206=2027,1+Assumptions!$F$193,1))&lt;3*Assumptions!H$223*12,Assumptions!$C$73+Assumptions!$C$74*(0.5*(3*Assumptions!H$223*12/(Assumptions!$D$90*IF(Assumptions!H$206=2027,1+Assumptions!$F$193,1))-1))^Assumptions!$C$75,0)</f>
        <v>0</v>
      </c>
      <c r="I56" s="99" t="n">
        <f aca="false">IF((Assumptions!$D$90*IF(Assumptions!I$206=2027,1+Assumptions!$F$193,1))&lt;3*Assumptions!I$223*12,Assumptions!$C$73+Assumptions!$C$74*(0.5*(3*Assumptions!I$223*12/(Assumptions!$D$90*IF(Assumptions!I$206=2027,1+Assumptions!$F$193,1))-1))^Assumptions!$C$75,0)</f>
        <v>0</v>
      </c>
      <c r="J56" s="99" t="n">
        <f aca="false">IF((Assumptions!$D$90*IF(Assumptions!J$206=2027,1+Assumptions!$F$193,1))&lt;3*Assumptions!J$223*12,Assumptions!$C$73+Assumptions!$C$74*(0.5*(3*Assumptions!J$223*12/(Assumptions!$D$90*IF(Assumptions!J$206=2027,1+Assumptions!$F$193,1))-1))^Assumptions!$C$75,0)</f>
        <v>0</v>
      </c>
      <c r="K56" s="99" t="n">
        <f aca="false">IF((Assumptions!$D$90*IF(Assumptions!K$206=2027,1+Assumptions!$F$193,1))&lt;3*Assumptions!K$223*12,Assumptions!$C$73+Assumptions!$C$74*(0.5*(3*Assumptions!K$223*12/(Assumptions!$D$90*IF(Assumptions!K$206=2027,1+Assumptions!$F$193,1))-1))^Assumptions!$C$75,0)</f>
        <v>0</v>
      </c>
      <c r="L56" s="99" t="n">
        <f aca="false">IF((Assumptions!$D$90*IF(Assumptions!L$206=2027,1+Assumptions!$F$193,1))&lt;3*Assumptions!L$223*12,Assumptions!$C$73+Assumptions!$C$74*(0.5*(3*Assumptions!L$223*12/(Assumptions!$D$90*IF(Assumptions!L$206=2027,1+Assumptions!$F$193,1))-1))^Assumptions!$C$75,0)</f>
        <v>0</v>
      </c>
      <c r="M56" s="99" t="n">
        <f aca="false">IF((Assumptions!$D$90*IF(Assumptions!M$206=2027,1+Assumptions!$F$193,1))&lt;3*Assumptions!M$223*12,Assumptions!$C$73+Assumptions!$C$74*(0.5*(3*Assumptions!M$223*12/(Assumptions!$D$90*IF(Assumptions!M$206=2027,1+Assumptions!$F$193,1))-1))^Assumptions!$C$75,0)</f>
        <v>0</v>
      </c>
      <c r="N56" s="99" t="n">
        <f aca="false">IF((Assumptions!$D$90*IF(Assumptions!N$206=2027,1+Assumptions!$F$193,1))&lt;3*Assumptions!N$223*12,Assumptions!$C$73+Assumptions!$C$74*(0.5*(3*Assumptions!N$223*12/(Assumptions!$D$90*IF(Assumptions!N$206=2027,1+Assumptions!$F$193,1))-1))^Assumptions!$C$75,0)</f>
        <v>0</v>
      </c>
      <c r="O56" s="99" t="n">
        <f aca="false">IF((Assumptions!$D$90*IF(Assumptions!O$206=2027,1+Assumptions!$F$193,1))&lt;3*Assumptions!O$223*12,Assumptions!$C$73+Assumptions!$C$74*(0.5*(3*Assumptions!O$223*12/(Assumptions!$D$90*IF(Assumptions!O$206=2027,1+Assumptions!$F$193,1))-1))^Assumptions!$C$75,0)</f>
        <v>0</v>
      </c>
      <c r="P56" s="99" t="n">
        <f aca="false">IF((Assumptions!$D$90*IF(Assumptions!P$206=2027,1+Assumptions!$F$193,1))&lt;3*Assumptions!P$223*12,Assumptions!$C$73+Assumptions!$C$74*(0.5*(3*Assumptions!P$223*12/(Assumptions!$D$90*IF(Assumptions!P$206=2027,1+Assumptions!$F$193,1))-1))^Assumptions!$C$75,0)</f>
        <v>0</v>
      </c>
      <c r="Q56" s="99" t="n">
        <f aca="false">IF((Assumptions!$D$90*IF(Assumptions!Q$206=2027,1+Assumptions!$F$193,1))&lt;3*Assumptions!Q$223*12,Assumptions!$C$73+Assumptions!$C$74*(0.5*(3*Assumptions!Q$223*12/(Assumptions!$D$90*IF(Assumptions!Q$206=2027,1+Assumptions!$F$193,1))-1))^Assumptions!$C$75,0)</f>
        <v>0</v>
      </c>
      <c r="R56" s="99" t="n">
        <f aca="false">IF((Assumptions!$D$90*IF(Assumptions!R$206=2027,1+Assumptions!$F$193,1))&lt;3*Assumptions!R$223*12,Assumptions!$C$73+Assumptions!$C$74*(0.5*(3*Assumptions!R$223*12/(Assumptions!$D$90*IF(Assumptions!R$206=2027,1+Assumptions!$F$193,1))-1))^Assumptions!$C$75,0)</f>
        <v>0</v>
      </c>
      <c r="S56" s="99" t="n">
        <f aca="false">IF((Assumptions!$D$90*IF(Assumptions!S$206=2027,1+Assumptions!$F$193,1))&lt;3*Assumptions!S$223*12,Assumptions!$C$73+Assumptions!$C$74*(0.5*(3*Assumptions!S$223*12/(Assumptions!$D$90*IF(Assumptions!S$206=2027,1+Assumptions!$F$193,1))-1))^Assumptions!$C$75,0)</f>
        <v>0</v>
      </c>
      <c r="T56" s="99" t="n">
        <f aca="false">IF((Assumptions!$D$90*IF(Assumptions!T$206=2027,1+Assumptions!$F$193,1))&lt;3*Assumptions!T$223*12,Assumptions!$C$73+Assumptions!$C$74*(0.5*(3*Assumptions!T$223*12/(Assumptions!$D$90*IF(Assumptions!T$206=2027,1+Assumptions!$F$193,1))-1))^Assumptions!$C$75,0)</f>
        <v>0</v>
      </c>
      <c r="U56" s="99" t="n">
        <f aca="false">IF((Assumptions!$D$90*IF(Assumptions!U$206=2027,1+Assumptions!$F$193,1))&lt;3*Assumptions!U$223*12,Assumptions!$C$73+Assumptions!$C$74*(0.5*(3*Assumptions!U$223*12/(Assumptions!$D$90*IF(Assumptions!U$206=2027,1+Assumptions!$F$193,1))-1))^Assumptions!$C$75,0)</f>
        <v>0</v>
      </c>
      <c r="V56" s="99" t="n">
        <f aca="false">IF((Assumptions!$D$90*IF(Assumptions!V$206=2027,1+Assumptions!$F$193,1))&lt;3*Assumptions!V$223*12,Assumptions!$C$73+Assumptions!$C$74*(0.5*(3*Assumptions!V$223*12/(Assumptions!$D$90*IF(Assumptions!V$206=2027,1+Assumptions!$F$193,1))-1))^Assumptions!$C$75,0)</f>
        <v>0</v>
      </c>
      <c r="W56" s="99" t="n">
        <f aca="false">IF((Assumptions!$D$90*IF(Assumptions!W$206=2027,1+Assumptions!$F$193,1))&lt;3*Assumptions!W$223*12,Assumptions!$C$73+Assumptions!$C$74*(0.5*(3*Assumptions!W$223*12/(Assumptions!$D$90*IF(Assumptions!W$206=2027,1+Assumptions!$F$193,1))-1))^Assumptions!$C$75,0)</f>
        <v>0</v>
      </c>
      <c r="X56" s="99" t="n">
        <f aca="false">IF((Assumptions!$D$90*IF(Assumptions!X$206=2027,1+Assumptions!$F$193,1))&lt;3*Assumptions!X$223*12,Assumptions!$C$73+Assumptions!$C$74*(0.5*(3*Assumptions!X$223*12/(Assumptions!$D$90*IF(Assumptions!X$206=2027,1+Assumptions!$F$193,1))-1))^Assumptions!$C$75,0)</f>
        <v>0</v>
      </c>
      <c r="Y56" s="99" t="n">
        <f aca="false">IF((Assumptions!$D$90*IF(Assumptions!Y$206=2027,1+Assumptions!$F$193,1))&lt;3*Assumptions!Y$223*12,Assumptions!$C$73+Assumptions!$C$74*(0.5*(3*Assumptions!Y$223*12/(Assumptions!$D$90*IF(Assumptions!Y$206=2027,1+Assumptions!$F$193,1))-1))^Assumptions!$C$75,0)</f>
        <v>0</v>
      </c>
      <c r="Z56" s="99" t="n">
        <f aca="false">IF((Assumptions!$D$90*IF(Assumptions!Z$206=2027,1+Assumptions!$F$193,1))&lt;3*Assumptions!Z$223*12,Assumptions!$C$73+Assumptions!$C$74*(0.5*(3*Assumptions!Z$223*12/(Assumptions!$D$90*IF(Assumptions!Z$206=2027,1+Assumptions!$F$193,1))-1))^Assumptions!$C$75,0)</f>
        <v>0</v>
      </c>
      <c r="AA56" s="99" t="n">
        <f aca="false">IF((Assumptions!$D$90*IF(Assumptions!AA$206=2027,1+Assumptions!$F$193,1))&lt;3*Assumptions!AA$223*12,Assumptions!$C$73+Assumptions!$C$74*(0.5*(3*Assumptions!AA$223*12/(Assumptions!$D$90*IF(Assumptions!AA$206=2027,1+Assumptions!$F$193,1))-1))^Assumptions!$C$75,0)</f>
        <v>0</v>
      </c>
      <c r="AB56" s="99" t="n">
        <f aca="false">IF((Assumptions!$D$90*IF(Assumptions!AB$206=2027,1+Assumptions!$F$193,1))&lt;3*Assumptions!AB$223*12,Assumptions!$C$73+Assumptions!$C$74*(0.5*(3*Assumptions!AB$223*12/(Assumptions!$D$90*IF(Assumptions!AB$206=2027,1+Assumptions!$F$193,1))-1))^Assumptions!$C$75,0)</f>
        <v>0</v>
      </c>
    </row>
    <row r="57" customFormat="false" ht="15" hidden="false" customHeight="false" outlineLevel="0" collapsed="false">
      <c r="A57" s="28" t="s">
        <v>1141</v>
      </c>
      <c r="B57" s="62" t="s">
        <v>1138</v>
      </c>
      <c r="C57" s="117" t="n">
        <f aca="false">AVERAGE(E57:P57)</f>
        <v>0</v>
      </c>
      <c r="D57" s="117" t="n">
        <f aca="false">AVERAGE(Q57:AB57)</f>
        <v>0</v>
      </c>
      <c r="E57" s="99" t="n">
        <f aca="false">IF((Assumptions!$D$91*IF(Assumptions!E$206=2027,1+Assumptions!$F$193,1))&lt;3*Assumptions!E$223*12,Assumptions!$C$73+Assumptions!$C$74*(0.5*(3*Assumptions!E$223*12/(Assumptions!$D$91*IF(Assumptions!E$206=2027,1+Assumptions!$F$193,1))-1))^Assumptions!$C$75,0)</f>
        <v>0</v>
      </c>
      <c r="F57" s="99" t="n">
        <f aca="false">IF((Assumptions!$D$91*IF(Assumptions!F$206=2027,1+Assumptions!$F$193,1))&lt;3*Assumptions!F$223*12,Assumptions!$C$73+Assumptions!$C$74*(0.5*(3*Assumptions!F$223*12/(Assumptions!$D$91*IF(Assumptions!F$206=2027,1+Assumptions!$F$193,1))-1))^Assumptions!$C$75,0)</f>
        <v>0</v>
      </c>
      <c r="G57" s="99" t="n">
        <f aca="false">IF((Assumptions!$D$91*IF(Assumptions!G$206=2027,1+Assumptions!$F$193,1))&lt;3*Assumptions!G$223*12,Assumptions!$C$73+Assumptions!$C$74*(0.5*(3*Assumptions!G$223*12/(Assumptions!$D$91*IF(Assumptions!G$206=2027,1+Assumptions!$F$193,1))-1))^Assumptions!$C$75,0)</f>
        <v>0</v>
      </c>
      <c r="H57" s="99" t="n">
        <f aca="false">IF((Assumptions!$D$91*IF(Assumptions!H$206=2027,1+Assumptions!$F$193,1))&lt;3*Assumptions!H$223*12,Assumptions!$C$73+Assumptions!$C$74*(0.5*(3*Assumptions!H$223*12/(Assumptions!$D$91*IF(Assumptions!H$206=2027,1+Assumptions!$F$193,1))-1))^Assumptions!$C$75,0)</f>
        <v>0</v>
      </c>
      <c r="I57" s="99" t="n">
        <f aca="false">IF((Assumptions!$D$91*IF(Assumptions!I$206=2027,1+Assumptions!$F$193,1))&lt;3*Assumptions!I$223*12,Assumptions!$C$73+Assumptions!$C$74*(0.5*(3*Assumptions!I$223*12/(Assumptions!$D$91*IF(Assumptions!I$206=2027,1+Assumptions!$F$193,1))-1))^Assumptions!$C$75,0)</f>
        <v>0</v>
      </c>
      <c r="J57" s="99" t="n">
        <f aca="false">IF((Assumptions!$D$91*IF(Assumptions!J$206=2027,1+Assumptions!$F$193,1))&lt;3*Assumptions!J$223*12,Assumptions!$C$73+Assumptions!$C$74*(0.5*(3*Assumptions!J$223*12/(Assumptions!$D$91*IF(Assumptions!J$206=2027,1+Assumptions!$F$193,1))-1))^Assumptions!$C$75,0)</f>
        <v>0</v>
      </c>
      <c r="K57" s="99" t="n">
        <f aca="false">IF((Assumptions!$D$91*IF(Assumptions!K$206=2027,1+Assumptions!$F$193,1))&lt;3*Assumptions!K$223*12,Assumptions!$C$73+Assumptions!$C$74*(0.5*(3*Assumptions!K$223*12/(Assumptions!$D$91*IF(Assumptions!K$206=2027,1+Assumptions!$F$193,1))-1))^Assumptions!$C$75,0)</f>
        <v>0</v>
      </c>
      <c r="L57" s="99" t="n">
        <f aca="false">IF((Assumptions!$D$91*IF(Assumptions!L$206=2027,1+Assumptions!$F$193,1))&lt;3*Assumptions!L$223*12,Assumptions!$C$73+Assumptions!$C$74*(0.5*(3*Assumptions!L$223*12/(Assumptions!$D$91*IF(Assumptions!L$206=2027,1+Assumptions!$F$193,1))-1))^Assumptions!$C$75,0)</f>
        <v>0</v>
      </c>
      <c r="M57" s="99" t="n">
        <f aca="false">IF((Assumptions!$D$91*IF(Assumptions!M$206=2027,1+Assumptions!$F$193,1))&lt;3*Assumptions!M$223*12,Assumptions!$C$73+Assumptions!$C$74*(0.5*(3*Assumptions!M$223*12/(Assumptions!$D$91*IF(Assumptions!M$206=2027,1+Assumptions!$F$193,1))-1))^Assumptions!$C$75,0)</f>
        <v>0</v>
      </c>
      <c r="N57" s="99" t="n">
        <f aca="false">IF((Assumptions!$D$91*IF(Assumptions!N$206=2027,1+Assumptions!$F$193,1))&lt;3*Assumptions!N$223*12,Assumptions!$C$73+Assumptions!$C$74*(0.5*(3*Assumptions!N$223*12/(Assumptions!$D$91*IF(Assumptions!N$206=2027,1+Assumptions!$F$193,1))-1))^Assumptions!$C$75,0)</f>
        <v>0</v>
      </c>
      <c r="O57" s="99" t="n">
        <f aca="false">IF((Assumptions!$D$91*IF(Assumptions!O$206=2027,1+Assumptions!$F$193,1))&lt;3*Assumptions!O$223*12,Assumptions!$C$73+Assumptions!$C$74*(0.5*(3*Assumptions!O$223*12/(Assumptions!$D$91*IF(Assumptions!O$206=2027,1+Assumptions!$F$193,1))-1))^Assumptions!$C$75,0)</f>
        <v>0</v>
      </c>
      <c r="P57" s="99" t="n">
        <f aca="false">IF((Assumptions!$D$91*IF(Assumptions!P$206=2027,1+Assumptions!$F$193,1))&lt;3*Assumptions!P$223*12,Assumptions!$C$73+Assumptions!$C$74*(0.5*(3*Assumptions!P$223*12/(Assumptions!$D$91*IF(Assumptions!P$206=2027,1+Assumptions!$F$193,1))-1))^Assumptions!$C$75,0)</f>
        <v>0</v>
      </c>
      <c r="Q57" s="99" t="n">
        <f aca="false">IF((Assumptions!$D$91*IF(Assumptions!Q$206=2027,1+Assumptions!$F$193,1))&lt;3*Assumptions!Q$223*12,Assumptions!$C$73+Assumptions!$C$74*(0.5*(3*Assumptions!Q$223*12/(Assumptions!$D$91*IF(Assumptions!Q$206=2027,1+Assumptions!$F$193,1))-1))^Assumptions!$C$75,0)</f>
        <v>0</v>
      </c>
      <c r="R57" s="99" t="n">
        <f aca="false">IF((Assumptions!$D$91*IF(Assumptions!R$206=2027,1+Assumptions!$F$193,1))&lt;3*Assumptions!R$223*12,Assumptions!$C$73+Assumptions!$C$74*(0.5*(3*Assumptions!R$223*12/(Assumptions!$D$91*IF(Assumptions!R$206=2027,1+Assumptions!$F$193,1))-1))^Assumptions!$C$75,0)</f>
        <v>0</v>
      </c>
      <c r="S57" s="99" t="n">
        <f aca="false">IF((Assumptions!$D$91*IF(Assumptions!S$206=2027,1+Assumptions!$F$193,1))&lt;3*Assumptions!S$223*12,Assumptions!$C$73+Assumptions!$C$74*(0.5*(3*Assumptions!S$223*12/(Assumptions!$D$91*IF(Assumptions!S$206=2027,1+Assumptions!$F$193,1))-1))^Assumptions!$C$75,0)</f>
        <v>0</v>
      </c>
      <c r="T57" s="99" t="n">
        <f aca="false">IF((Assumptions!$D$91*IF(Assumptions!T$206=2027,1+Assumptions!$F$193,1))&lt;3*Assumptions!T$223*12,Assumptions!$C$73+Assumptions!$C$74*(0.5*(3*Assumptions!T$223*12/(Assumptions!$D$91*IF(Assumptions!T$206=2027,1+Assumptions!$F$193,1))-1))^Assumptions!$C$75,0)</f>
        <v>0</v>
      </c>
      <c r="U57" s="99" t="n">
        <f aca="false">IF((Assumptions!$D$91*IF(Assumptions!U$206=2027,1+Assumptions!$F$193,1))&lt;3*Assumptions!U$223*12,Assumptions!$C$73+Assumptions!$C$74*(0.5*(3*Assumptions!U$223*12/(Assumptions!$D$91*IF(Assumptions!U$206=2027,1+Assumptions!$F$193,1))-1))^Assumptions!$C$75,0)</f>
        <v>0</v>
      </c>
      <c r="V57" s="99" t="n">
        <f aca="false">IF((Assumptions!$D$91*IF(Assumptions!V$206=2027,1+Assumptions!$F$193,1))&lt;3*Assumptions!V$223*12,Assumptions!$C$73+Assumptions!$C$74*(0.5*(3*Assumptions!V$223*12/(Assumptions!$D$91*IF(Assumptions!V$206=2027,1+Assumptions!$F$193,1))-1))^Assumptions!$C$75,0)</f>
        <v>0</v>
      </c>
      <c r="W57" s="99" t="n">
        <f aca="false">IF((Assumptions!$D$91*IF(Assumptions!W$206=2027,1+Assumptions!$F$193,1))&lt;3*Assumptions!W$223*12,Assumptions!$C$73+Assumptions!$C$74*(0.5*(3*Assumptions!W$223*12/(Assumptions!$D$91*IF(Assumptions!W$206=2027,1+Assumptions!$F$193,1))-1))^Assumptions!$C$75,0)</f>
        <v>0</v>
      </c>
      <c r="X57" s="99" t="n">
        <f aca="false">IF((Assumptions!$D$91*IF(Assumptions!X$206=2027,1+Assumptions!$F$193,1))&lt;3*Assumptions!X$223*12,Assumptions!$C$73+Assumptions!$C$74*(0.5*(3*Assumptions!X$223*12/(Assumptions!$D$91*IF(Assumptions!X$206=2027,1+Assumptions!$F$193,1))-1))^Assumptions!$C$75,0)</f>
        <v>0</v>
      </c>
      <c r="Y57" s="99" t="n">
        <f aca="false">IF((Assumptions!$D$91*IF(Assumptions!Y$206=2027,1+Assumptions!$F$193,1))&lt;3*Assumptions!Y$223*12,Assumptions!$C$73+Assumptions!$C$74*(0.5*(3*Assumptions!Y$223*12/(Assumptions!$D$91*IF(Assumptions!Y$206=2027,1+Assumptions!$F$193,1))-1))^Assumptions!$C$75,0)</f>
        <v>0</v>
      </c>
      <c r="Z57" s="99" t="n">
        <f aca="false">IF((Assumptions!$D$91*IF(Assumptions!Z$206=2027,1+Assumptions!$F$193,1))&lt;3*Assumptions!Z$223*12,Assumptions!$C$73+Assumptions!$C$74*(0.5*(3*Assumptions!Z$223*12/(Assumptions!$D$91*IF(Assumptions!Z$206=2027,1+Assumptions!$F$193,1))-1))^Assumptions!$C$75,0)</f>
        <v>0</v>
      </c>
      <c r="AA57" s="99" t="n">
        <f aca="false">IF((Assumptions!$D$91*IF(Assumptions!AA$206=2027,1+Assumptions!$F$193,1))&lt;3*Assumptions!AA$223*12,Assumptions!$C$73+Assumptions!$C$74*(0.5*(3*Assumptions!AA$223*12/(Assumptions!$D$91*IF(Assumptions!AA$206=2027,1+Assumptions!$F$193,1))-1))^Assumptions!$C$75,0)</f>
        <v>0</v>
      </c>
      <c r="AB57" s="99" t="n">
        <f aca="false">IF((Assumptions!$D$91*IF(Assumptions!AB$206=2027,1+Assumptions!$F$193,1))&lt;3*Assumptions!AB$223*12,Assumptions!$C$73+Assumptions!$C$74*(0.5*(3*Assumptions!AB$223*12/(Assumptions!$D$91*IF(Assumptions!AB$206=2027,1+Assumptions!$F$193,1))-1))^Assumptions!$C$75,0)</f>
        <v>0</v>
      </c>
    </row>
    <row r="58" customFormat="false" ht="15" hidden="false" customHeight="false" outlineLevel="0" collapsed="false">
      <c r="A58" s="28" t="s">
        <v>1142</v>
      </c>
      <c r="B58" s="62" t="s">
        <v>1138</v>
      </c>
      <c r="C58" s="117" t="n">
        <f aca="false">AVERAGE(E58:P58)</f>
        <v>0</v>
      </c>
      <c r="D58" s="117" t="n">
        <f aca="false">AVERAGE(Q58:AB58)</f>
        <v>0</v>
      </c>
      <c r="E58" s="99" t="n">
        <f aca="false">IF((Assumptions!$D$92*IF(Assumptions!E$206=2027,1+Assumptions!$F$193,1))&lt;3*Assumptions!E$223*12,Assumptions!$C$73+Assumptions!$C$74*(0.5*(3*Assumptions!E$223*12/(Assumptions!$D$92*IF(Assumptions!E$206=2027,1+Assumptions!$F$193,1))-1))^Assumptions!$C$75,0)</f>
        <v>0</v>
      </c>
      <c r="F58" s="99" t="n">
        <f aca="false">IF((Assumptions!$D$92*IF(Assumptions!F$206=2027,1+Assumptions!$F$193,1))&lt;3*Assumptions!F$223*12,Assumptions!$C$73+Assumptions!$C$74*(0.5*(3*Assumptions!F$223*12/(Assumptions!$D$92*IF(Assumptions!F$206=2027,1+Assumptions!$F$193,1))-1))^Assumptions!$C$75,0)</f>
        <v>0</v>
      </c>
      <c r="G58" s="99" t="n">
        <f aca="false">IF((Assumptions!$D$92*IF(Assumptions!G$206=2027,1+Assumptions!$F$193,1))&lt;3*Assumptions!G$223*12,Assumptions!$C$73+Assumptions!$C$74*(0.5*(3*Assumptions!G$223*12/(Assumptions!$D$92*IF(Assumptions!G$206=2027,1+Assumptions!$F$193,1))-1))^Assumptions!$C$75,0)</f>
        <v>0</v>
      </c>
      <c r="H58" s="99" t="n">
        <f aca="false">IF((Assumptions!$D$92*IF(Assumptions!H$206=2027,1+Assumptions!$F$193,1))&lt;3*Assumptions!H$223*12,Assumptions!$C$73+Assumptions!$C$74*(0.5*(3*Assumptions!H$223*12/(Assumptions!$D$92*IF(Assumptions!H$206=2027,1+Assumptions!$F$193,1))-1))^Assumptions!$C$75,0)</f>
        <v>0</v>
      </c>
      <c r="I58" s="99" t="n">
        <f aca="false">IF((Assumptions!$D$92*IF(Assumptions!I$206=2027,1+Assumptions!$F$193,1))&lt;3*Assumptions!I$223*12,Assumptions!$C$73+Assumptions!$C$74*(0.5*(3*Assumptions!I$223*12/(Assumptions!$D$92*IF(Assumptions!I$206=2027,1+Assumptions!$F$193,1))-1))^Assumptions!$C$75,0)</f>
        <v>0</v>
      </c>
      <c r="J58" s="99" t="n">
        <f aca="false">IF((Assumptions!$D$92*IF(Assumptions!J$206=2027,1+Assumptions!$F$193,1))&lt;3*Assumptions!J$223*12,Assumptions!$C$73+Assumptions!$C$74*(0.5*(3*Assumptions!J$223*12/(Assumptions!$D$92*IF(Assumptions!J$206=2027,1+Assumptions!$F$193,1))-1))^Assumptions!$C$75,0)</f>
        <v>0</v>
      </c>
      <c r="K58" s="99" t="n">
        <f aca="false">IF((Assumptions!$D$92*IF(Assumptions!K$206=2027,1+Assumptions!$F$193,1))&lt;3*Assumptions!K$223*12,Assumptions!$C$73+Assumptions!$C$74*(0.5*(3*Assumptions!K$223*12/(Assumptions!$D$92*IF(Assumptions!K$206=2027,1+Assumptions!$F$193,1))-1))^Assumptions!$C$75,0)</f>
        <v>0</v>
      </c>
      <c r="L58" s="99" t="n">
        <f aca="false">IF((Assumptions!$D$92*IF(Assumptions!L$206=2027,1+Assumptions!$F$193,1))&lt;3*Assumptions!L$223*12,Assumptions!$C$73+Assumptions!$C$74*(0.5*(3*Assumptions!L$223*12/(Assumptions!$D$92*IF(Assumptions!L$206=2027,1+Assumptions!$F$193,1))-1))^Assumptions!$C$75,0)</f>
        <v>0</v>
      </c>
      <c r="M58" s="99" t="n">
        <f aca="false">IF((Assumptions!$D$92*IF(Assumptions!M$206=2027,1+Assumptions!$F$193,1))&lt;3*Assumptions!M$223*12,Assumptions!$C$73+Assumptions!$C$74*(0.5*(3*Assumptions!M$223*12/(Assumptions!$D$92*IF(Assumptions!M$206=2027,1+Assumptions!$F$193,1))-1))^Assumptions!$C$75,0)</f>
        <v>0</v>
      </c>
      <c r="N58" s="99" t="n">
        <f aca="false">IF((Assumptions!$D$92*IF(Assumptions!N$206=2027,1+Assumptions!$F$193,1))&lt;3*Assumptions!N$223*12,Assumptions!$C$73+Assumptions!$C$74*(0.5*(3*Assumptions!N$223*12/(Assumptions!$D$92*IF(Assumptions!N$206=2027,1+Assumptions!$F$193,1))-1))^Assumptions!$C$75,0)</f>
        <v>0</v>
      </c>
      <c r="O58" s="99" t="n">
        <f aca="false">IF((Assumptions!$D$92*IF(Assumptions!O$206=2027,1+Assumptions!$F$193,1))&lt;3*Assumptions!O$223*12,Assumptions!$C$73+Assumptions!$C$74*(0.5*(3*Assumptions!O$223*12/(Assumptions!$D$92*IF(Assumptions!O$206=2027,1+Assumptions!$F$193,1))-1))^Assumptions!$C$75,0)</f>
        <v>0</v>
      </c>
      <c r="P58" s="99" t="n">
        <f aca="false">IF((Assumptions!$D$92*IF(Assumptions!P$206=2027,1+Assumptions!$F$193,1))&lt;3*Assumptions!P$223*12,Assumptions!$C$73+Assumptions!$C$74*(0.5*(3*Assumptions!P$223*12/(Assumptions!$D$92*IF(Assumptions!P$206=2027,1+Assumptions!$F$193,1))-1))^Assumptions!$C$75,0)</f>
        <v>0</v>
      </c>
      <c r="Q58" s="99" t="n">
        <f aca="false">IF((Assumptions!$D$92*IF(Assumptions!Q$206=2027,1+Assumptions!$F$193,1))&lt;3*Assumptions!Q$223*12,Assumptions!$C$73+Assumptions!$C$74*(0.5*(3*Assumptions!Q$223*12/(Assumptions!$D$92*IF(Assumptions!Q$206=2027,1+Assumptions!$F$193,1))-1))^Assumptions!$C$75,0)</f>
        <v>0</v>
      </c>
      <c r="R58" s="99" t="n">
        <f aca="false">IF((Assumptions!$D$92*IF(Assumptions!R$206=2027,1+Assumptions!$F$193,1))&lt;3*Assumptions!R$223*12,Assumptions!$C$73+Assumptions!$C$74*(0.5*(3*Assumptions!R$223*12/(Assumptions!$D$92*IF(Assumptions!R$206=2027,1+Assumptions!$F$193,1))-1))^Assumptions!$C$75,0)</f>
        <v>0</v>
      </c>
      <c r="S58" s="99" t="n">
        <f aca="false">IF((Assumptions!$D$92*IF(Assumptions!S$206=2027,1+Assumptions!$F$193,1))&lt;3*Assumptions!S$223*12,Assumptions!$C$73+Assumptions!$C$74*(0.5*(3*Assumptions!S$223*12/(Assumptions!$D$92*IF(Assumptions!S$206=2027,1+Assumptions!$F$193,1))-1))^Assumptions!$C$75,0)</f>
        <v>0</v>
      </c>
      <c r="T58" s="99" t="n">
        <f aca="false">IF((Assumptions!$D$92*IF(Assumptions!T$206=2027,1+Assumptions!$F$193,1))&lt;3*Assumptions!T$223*12,Assumptions!$C$73+Assumptions!$C$74*(0.5*(3*Assumptions!T$223*12/(Assumptions!$D$92*IF(Assumptions!T$206=2027,1+Assumptions!$F$193,1))-1))^Assumptions!$C$75,0)</f>
        <v>0</v>
      </c>
      <c r="U58" s="99" t="n">
        <f aca="false">IF((Assumptions!$D$92*IF(Assumptions!U$206=2027,1+Assumptions!$F$193,1))&lt;3*Assumptions!U$223*12,Assumptions!$C$73+Assumptions!$C$74*(0.5*(3*Assumptions!U$223*12/(Assumptions!$D$92*IF(Assumptions!U$206=2027,1+Assumptions!$F$193,1))-1))^Assumptions!$C$75,0)</f>
        <v>0</v>
      </c>
      <c r="V58" s="99" t="n">
        <f aca="false">IF((Assumptions!$D$92*IF(Assumptions!V$206=2027,1+Assumptions!$F$193,1))&lt;3*Assumptions!V$223*12,Assumptions!$C$73+Assumptions!$C$74*(0.5*(3*Assumptions!V$223*12/(Assumptions!$D$92*IF(Assumptions!V$206=2027,1+Assumptions!$F$193,1))-1))^Assumptions!$C$75,0)</f>
        <v>0</v>
      </c>
      <c r="W58" s="99" t="n">
        <f aca="false">IF((Assumptions!$D$92*IF(Assumptions!W$206=2027,1+Assumptions!$F$193,1))&lt;3*Assumptions!W$223*12,Assumptions!$C$73+Assumptions!$C$74*(0.5*(3*Assumptions!W$223*12/(Assumptions!$D$92*IF(Assumptions!W$206=2027,1+Assumptions!$F$193,1))-1))^Assumptions!$C$75,0)</f>
        <v>0</v>
      </c>
      <c r="X58" s="99" t="n">
        <f aca="false">IF((Assumptions!$D$92*IF(Assumptions!X$206=2027,1+Assumptions!$F$193,1))&lt;3*Assumptions!X$223*12,Assumptions!$C$73+Assumptions!$C$74*(0.5*(3*Assumptions!X$223*12/(Assumptions!$D$92*IF(Assumptions!X$206=2027,1+Assumptions!$F$193,1))-1))^Assumptions!$C$75,0)</f>
        <v>0</v>
      </c>
      <c r="Y58" s="99" t="n">
        <f aca="false">IF((Assumptions!$D$92*IF(Assumptions!Y$206=2027,1+Assumptions!$F$193,1))&lt;3*Assumptions!Y$223*12,Assumptions!$C$73+Assumptions!$C$74*(0.5*(3*Assumptions!Y$223*12/(Assumptions!$D$92*IF(Assumptions!Y$206=2027,1+Assumptions!$F$193,1))-1))^Assumptions!$C$75,0)</f>
        <v>0</v>
      </c>
      <c r="Z58" s="99" t="n">
        <f aca="false">IF((Assumptions!$D$92*IF(Assumptions!Z$206=2027,1+Assumptions!$F$193,1))&lt;3*Assumptions!Z$223*12,Assumptions!$C$73+Assumptions!$C$74*(0.5*(3*Assumptions!Z$223*12/(Assumptions!$D$92*IF(Assumptions!Z$206=2027,1+Assumptions!$F$193,1))-1))^Assumptions!$C$75,0)</f>
        <v>0</v>
      </c>
      <c r="AA58" s="99" t="n">
        <f aca="false">IF((Assumptions!$D$92*IF(Assumptions!AA$206=2027,1+Assumptions!$F$193,1))&lt;3*Assumptions!AA$223*12,Assumptions!$C$73+Assumptions!$C$74*(0.5*(3*Assumptions!AA$223*12/(Assumptions!$D$92*IF(Assumptions!AA$206=2027,1+Assumptions!$F$193,1))-1))^Assumptions!$C$75,0)</f>
        <v>0</v>
      </c>
      <c r="AB58" s="99" t="n">
        <f aca="false">IF((Assumptions!$D$92*IF(Assumptions!AB$206=2027,1+Assumptions!$F$193,1))&lt;3*Assumptions!AB$223*12,Assumptions!$C$73+Assumptions!$C$74*(0.5*(3*Assumptions!AB$223*12/(Assumptions!$D$92*IF(Assumptions!AB$206=2027,1+Assumptions!$F$193,1))-1))^Assumptions!$C$75,0)</f>
        <v>0</v>
      </c>
    </row>
    <row r="59" customFormat="false" ht="15" hidden="false" customHeight="false" outlineLevel="0" collapsed="false">
      <c r="A59" s="28" t="s">
        <v>1143</v>
      </c>
      <c r="B59" s="62" t="s">
        <v>1138</v>
      </c>
      <c r="C59" s="117" t="n">
        <f aca="false">AVERAGE(E59:P59)</f>
        <v>0.0322560258505692</v>
      </c>
      <c r="D59" s="117" t="n">
        <f aca="false">AVERAGE(Q59:AB59)</f>
        <v>0.0320523996322269</v>
      </c>
      <c r="E59" s="99" t="n">
        <f aca="false">IF((Assumptions!$D$93*IF(Assumptions!E$206=2027,1+Assumptions!$F$193,1))&lt;3*Assumptions!E$223*12,Assumptions!$C$73+Assumptions!$C$74*(0.5*(3*Assumptions!E$223*12/(Assumptions!$D$93*IF(Assumptions!E$206=2027,1+Assumptions!$F$193,1))-1))^Assumptions!$C$75,0)</f>
        <v>0.030906493384035</v>
      </c>
      <c r="F59" s="99" t="n">
        <f aca="false">IF((Assumptions!$D$93*IF(Assumptions!F$206=2027,1+Assumptions!$F$193,1))&lt;3*Assumptions!F$223*12,Assumptions!$C$73+Assumptions!$C$74*(0.5*(3*Assumptions!F$223*12/(Assumptions!$D$93*IF(Assumptions!F$206=2027,1+Assumptions!$F$193,1))-1))^Assumptions!$C$75,0)</f>
        <v>0.030906493384035</v>
      </c>
      <c r="G59" s="99" t="n">
        <f aca="false">IF((Assumptions!$D$93*IF(Assumptions!G$206=2027,1+Assumptions!$F$193,1))&lt;3*Assumptions!G$223*12,Assumptions!$C$73+Assumptions!$C$74*(0.5*(3*Assumptions!G$223*12/(Assumptions!$D$93*IF(Assumptions!G$206=2027,1+Assumptions!$F$193,1))-1))^Assumptions!$C$75,0)</f>
        <v>0.030906493384035</v>
      </c>
      <c r="H59" s="99" t="n">
        <f aca="false">IF((Assumptions!$D$93*IF(Assumptions!H$206=2027,1+Assumptions!$F$193,1))&lt;3*Assumptions!H$223*12,Assumptions!$C$73+Assumptions!$C$74*(0.5*(3*Assumptions!H$223*12/(Assumptions!$D$93*IF(Assumptions!H$206=2027,1+Assumptions!$F$193,1))-1))^Assumptions!$C$75,0)</f>
        <v>0.030906493384035</v>
      </c>
      <c r="I59" s="99" t="n">
        <f aca="false">IF((Assumptions!$D$93*IF(Assumptions!I$206=2027,1+Assumptions!$F$193,1))&lt;3*Assumptions!I$223*12,Assumptions!$C$73+Assumptions!$C$74*(0.5*(3*Assumptions!I$223*12/(Assumptions!$D$93*IF(Assumptions!I$206=2027,1+Assumptions!$F$193,1))-1))^Assumptions!$C$75,0)</f>
        <v>0.030906493384035</v>
      </c>
      <c r="J59" s="99" t="n">
        <f aca="false">IF((Assumptions!$D$93*IF(Assumptions!J$206=2027,1+Assumptions!$F$193,1))&lt;3*Assumptions!J$223*12,Assumptions!$C$73+Assumptions!$C$74*(0.5*(3*Assumptions!J$223*12/(Assumptions!$D$93*IF(Assumptions!J$206=2027,1+Assumptions!$F$193,1))-1))^Assumptions!$C$75,0)</f>
        <v>0.0332199776123793</v>
      </c>
      <c r="K59" s="99" t="n">
        <f aca="false">IF((Assumptions!$D$93*IF(Assumptions!K$206=2027,1+Assumptions!$F$193,1))&lt;3*Assumptions!K$223*12,Assumptions!$C$73+Assumptions!$C$74*(0.5*(3*Assumptions!K$223*12/(Assumptions!$D$93*IF(Assumptions!K$206=2027,1+Assumptions!$F$193,1))-1))^Assumptions!$C$75,0)</f>
        <v>0.0332199776123793</v>
      </c>
      <c r="L59" s="99" t="n">
        <f aca="false">IF((Assumptions!$D$93*IF(Assumptions!L$206=2027,1+Assumptions!$F$193,1))&lt;3*Assumptions!L$223*12,Assumptions!$C$73+Assumptions!$C$74*(0.5*(3*Assumptions!L$223*12/(Assumptions!$D$93*IF(Assumptions!L$206=2027,1+Assumptions!$F$193,1))-1))^Assumptions!$C$75,0)</f>
        <v>0.0332199776123793</v>
      </c>
      <c r="M59" s="99" t="n">
        <f aca="false">IF((Assumptions!$D$93*IF(Assumptions!M$206=2027,1+Assumptions!$F$193,1))&lt;3*Assumptions!M$223*12,Assumptions!$C$73+Assumptions!$C$74*(0.5*(3*Assumptions!M$223*12/(Assumptions!$D$93*IF(Assumptions!M$206=2027,1+Assumptions!$F$193,1))-1))^Assumptions!$C$75,0)</f>
        <v>0.0332199776123793</v>
      </c>
      <c r="N59" s="99" t="n">
        <f aca="false">IF((Assumptions!$D$93*IF(Assumptions!N$206=2027,1+Assumptions!$F$193,1))&lt;3*Assumptions!N$223*12,Assumptions!$C$73+Assumptions!$C$74*(0.5*(3*Assumptions!N$223*12/(Assumptions!$D$93*IF(Assumptions!N$206=2027,1+Assumptions!$F$193,1))-1))^Assumptions!$C$75,0)</f>
        <v>0.0332199776123793</v>
      </c>
      <c r="O59" s="99" t="n">
        <f aca="false">IF((Assumptions!$D$93*IF(Assumptions!O$206=2027,1+Assumptions!$F$193,1))&lt;3*Assumptions!O$223*12,Assumptions!$C$73+Assumptions!$C$74*(0.5*(3*Assumptions!O$223*12/(Assumptions!$D$93*IF(Assumptions!O$206=2027,1+Assumptions!$F$193,1))-1))^Assumptions!$C$75,0)</f>
        <v>0.0332199776123793</v>
      </c>
      <c r="P59" s="99" t="n">
        <f aca="false">IF((Assumptions!$D$93*IF(Assumptions!P$206=2027,1+Assumptions!$F$193,1))&lt;3*Assumptions!P$223*12,Assumptions!$C$73+Assumptions!$C$74*(0.5*(3*Assumptions!P$223*12/(Assumptions!$D$93*IF(Assumptions!P$206=2027,1+Assumptions!$F$193,1))-1))^Assumptions!$C$75,0)</f>
        <v>0.0332199776123793</v>
      </c>
      <c r="Q59" s="99" t="n">
        <f aca="false">IF((Assumptions!$D$93*IF(Assumptions!Q$206=2027,1+Assumptions!$F$193,1))&lt;3*Assumptions!Q$223*12,Assumptions!$C$73+Assumptions!$C$74*(0.5*(3*Assumptions!Q$223*12/(Assumptions!$D$93*IF(Assumptions!Q$206=2027,1+Assumptions!$F$193,1))-1))^Assumptions!$C$75,0)</f>
        <v>0.0320523996322269</v>
      </c>
      <c r="R59" s="99" t="n">
        <f aca="false">IF((Assumptions!$D$93*IF(Assumptions!R$206=2027,1+Assumptions!$F$193,1))&lt;3*Assumptions!R$223*12,Assumptions!$C$73+Assumptions!$C$74*(0.5*(3*Assumptions!R$223*12/(Assumptions!$D$93*IF(Assumptions!R$206=2027,1+Assumptions!$F$193,1))-1))^Assumptions!$C$75,0)</f>
        <v>0.0320523996322269</v>
      </c>
      <c r="S59" s="99" t="n">
        <f aca="false">IF((Assumptions!$D$93*IF(Assumptions!S$206=2027,1+Assumptions!$F$193,1))&lt;3*Assumptions!S$223*12,Assumptions!$C$73+Assumptions!$C$74*(0.5*(3*Assumptions!S$223*12/(Assumptions!$D$93*IF(Assumptions!S$206=2027,1+Assumptions!$F$193,1))-1))^Assumptions!$C$75,0)</f>
        <v>0.0320523996322269</v>
      </c>
      <c r="T59" s="99" t="n">
        <f aca="false">IF((Assumptions!$D$93*IF(Assumptions!T$206=2027,1+Assumptions!$F$193,1))&lt;3*Assumptions!T$223*12,Assumptions!$C$73+Assumptions!$C$74*(0.5*(3*Assumptions!T$223*12/(Assumptions!$D$93*IF(Assumptions!T$206=2027,1+Assumptions!$F$193,1))-1))^Assumptions!$C$75,0)</f>
        <v>0.0320523996322269</v>
      </c>
      <c r="U59" s="99" t="n">
        <f aca="false">IF((Assumptions!$D$93*IF(Assumptions!U$206=2027,1+Assumptions!$F$193,1))&lt;3*Assumptions!U$223*12,Assumptions!$C$73+Assumptions!$C$74*(0.5*(3*Assumptions!U$223*12/(Assumptions!$D$93*IF(Assumptions!U$206=2027,1+Assumptions!$F$193,1))-1))^Assumptions!$C$75,0)</f>
        <v>0.0320523996322269</v>
      </c>
      <c r="V59" s="99" t="n">
        <f aca="false">IF((Assumptions!$D$93*IF(Assumptions!V$206=2027,1+Assumptions!$F$193,1))&lt;3*Assumptions!V$223*12,Assumptions!$C$73+Assumptions!$C$74*(0.5*(3*Assumptions!V$223*12/(Assumptions!$D$93*IF(Assumptions!V$206=2027,1+Assumptions!$F$193,1))-1))^Assumptions!$C$75,0)</f>
        <v>0.0320523996322269</v>
      </c>
      <c r="W59" s="99" t="n">
        <f aca="false">IF((Assumptions!$D$93*IF(Assumptions!W$206=2027,1+Assumptions!$F$193,1))&lt;3*Assumptions!W$223*12,Assumptions!$C$73+Assumptions!$C$74*(0.5*(3*Assumptions!W$223*12/(Assumptions!$D$93*IF(Assumptions!W$206=2027,1+Assumptions!$F$193,1))-1))^Assumptions!$C$75,0)</f>
        <v>0.0320523996322269</v>
      </c>
      <c r="X59" s="99" t="n">
        <f aca="false">IF((Assumptions!$D$93*IF(Assumptions!X$206=2027,1+Assumptions!$F$193,1))&lt;3*Assumptions!X$223*12,Assumptions!$C$73+Assumptions!$C$74*(0.5*(3*Assumptions!X$223*12/(Assumptions!$D$93*IF(Assumptions!X$206=2027,1+Assumptions!$F$193,1))-1))^Assumptions!$C$75,0)</f>
        <v>0.0320523996322269</v>
      </c>
      <c r="Y59" s="99" t="n">
        <f aca="false">IF((Assumptions!$D$93*IF(Assumptions!Y$206=2027,1+Assumptions!$F$193,1))&lt;3*Assumptions!Y$223*12,Assumptions!$C$73+Assumptions!$C$74*(0.5*(3*Assumptions!Y$223*12/(Assumptions!$D$93*IF(Assumptions!Y$206=2027,1+Assumptions!$F$193,1))-1))^Assumptions!$C$75,0)</f>
        <v>0.0320523996322269</v>
      </c>
      <c r="Z59" s="99" t="n">
        <f aca="false">IF((Assumptions!$D$93*IF(Assumptions!Z$206=2027,1+Assumptions!$F$193,1))&lt;3*Assumptions!Z$223*12,Assumptions!$C$73+Assumptions!$C$74*(0.5*(3*Assumptions!Z$223*12/(Assumptions!$D$93*IF(Assumptions!Z$206=2027,1+Assumptions!$F$193,1))-1))^Assumptions!$C$75,0)</f>
        <v>0.0320523996322269</v>
      </c>
      <c r="AA59" s="99" t="n">
        <f aca="false">IF((Assumptions!$D$93*IF(Assumptions!AA$206=2027,1+Assumptions!$F$193,1))&lt;3*Assumptions!AA$223*12,Assumptions!$C$73+Assumptions!$C$74*(0.5*(3*Assumptions!AA$223*12/(Assumptions!$D$93*IF(Assumptions!AA$206=2027,1+Assumptions!$F$193,1))-1))^Assumptions!$C$75,0)</f>
        <v>0.0320523996322269</v>
      </c>
      <c r="AB59" s="99" t="n">
        <f aca="false">IF((Assumptions!$D$93*IF(Assumptions!AB$206=2027,1+Assumptions!$F$193,1))&lt;3*Assumptions!AB$223*12,Assumptions!$C$73+Assumptions!$C$74*(0.5*(3*Assumptions!AB$223*12/(Assumptions!$D$93*IF(Assumptions!AB$206=2027,1+Assumptions!$F$193,1))-1))^Assumptions!$C$75,0)</f>
        <v>0.0320523996322269</v>
      </c>
    </row>
    <row r="60" customFormat="false" ht="15" hidden="false" customHeight="false" outlineLevel="0" collapsed="false">
      <c r="A60" s="28" t="s">
        <v>1144</v>
      </c>
      <c r="B60" s="62" t="s">
        <v>1138</v>
      </c>
      <c r="C60" s="117" t="n">
        <f aca="false">AVERAGE(E60:P60)</f>
        <v>0.0261447574847301</v>
      </c>
      <c r="D60" s="117" t="n">
        <f aca="false">AVERAGE(Q60:AB60)</f>
        <v>0.0259982902031072</v>
      </c>
      <c r="E60" s="99" t="n">
        <f aca="false">IF((Assumptions!$D$94*IF(Assumptions!E$206=2027,1+Assumptions!$F$193,1))&lt;3*Assumptions!E$223*12,Assumptions!$C$73+Assumptions!$C$74*(0.5*(3*Assumptions!E$223*12/(Assumptions!$D$94*IF(Assumptions!E$206=2027,1+Assumptions!$F$193,1))-1))^Assumptions!$C$75,0)</f>
        <v>0.0252157754892351</v>
      </c>
      <c r="F60" s="99" t="n">
        <f aca="false">IF((Assumptions!$D$94*IF(Assumptions!F$206=2027,1+Assumptions!$F$193,1))&lt;3*Assumptions!F$223*12,Assumptions!$C$73+Assumptions!$C$74*(0.5*(3*Assumptions!F$223*12/(Assumptions!$D$94*IF(Assumptions!F$206=2027,1+Assumptions!$F$193,1))-1))^Assumptions!$C$75,0)</f>
        <v>0.0252157754892351</v>
      </c>
      <c r="G60" s="99" t="n">
        <f aca="false">IF((Assumptions!$D$94*IF(Assumptions!G$206=2027,1+Assumptions!$F$193,1))&lt;3*Assumptions!G$223*12,Assumptions!$C$73+Assumptions!$C$74*(0.5*(3*Assumptions!G$223*12/(Assumptions!$D$94*IF(Assumptions!G$206=2027,1+Assumptions!$F$193,1))-1))^Assumptions!$C$75,0)</f>
        <v>0.0252157754892351</v>
      </c>
      <c r="H60" s="99" t="n">
        <f aca="false">IF((Assumptions!$D$94*IF(Assumptions!H$206=2027,1+Assumptions!$F$193,1))&lt;3*Assumptions!H$223*12,Assumptions!$C$73+Assumptions!$C$74*(0.5*(3*Assumptions!H$223*12/(Assumptions!$D$94*IF(Assumptions!H$206=2027,1+Assumptions!$F$193,1))-1))^Assumptions!$C$75,0)</f>
        <v>0.0252157754892351</v>
      </c>
      <c r="I60" s="99" t="n">
        <f aca="false">IF((Assumptions!$D$94*IF(Assumptions!I$206=2027,1+Assumptions!$F$193,1))&lt;3*Assumptions!I$223*12,Assumptions!$C$73+Assumptions!$C$74*(0.5*(3*Assumptions!I$223*12/(Assumptions!$D$94*IF(Assumptions!I$206=2027,1+Assumptions!$F$193,1))-1))^Assumptions!$C$75,0)</f>
        <v>0.0252157754892351</v>
      </c>
      <c r="J60" s="99" t="n">
        <f aca="false">IF((Assumptions!$D$94*IF(Assumptions!J$206=2027,1+Assumptions!$F$193,1))&lt;3*Assumptions!J$223*12,Assumptions!$C$73+Assumptions!$C$74*(0.5*(3*Assumptions!J$223*12/(Assumptions!$D$94*IF(Assumptions!J$206=2027,1+Assumptions!$F$193,1))-1))^Assumptions!$C$75,0)</f>
        <v>0.0268083160529409</v>
      </c>
      <c r="K60" s="99" t="n">
        <f aca="false">IF((Assumptions!$D$94*IF(Assumptions!K$206=2027,1+Assumptions!$F$193,1))&lt;3*Assumptions!K$223*12,Assumptions!$C$73+Assumptions!$C$74*(0.5*(3*Assumptions!K$223*12/(Assumptions!$D$94*IF(Assumptions!K$206=2027,1+Assumptions!$F$193,1))-1))^Assumptions!$C$75,0)</f>
        <v>0.0268083160529409</v>
      </c>
      <c r="L60" s="99" t="n">
        <f aca="false">IF((Assumptions!$D$94*IF(Assumptions!L$206=2027,1+Assumptions!$F$193,1))&lt;3*Assumptions!L$223*12,Assumptions!$C$73+Assumptions!$C$74*(0.5*(3*Assumptions!L$223*12/(Assumptions!$D$94*IF(Assumptions!L$206=2027,1+Assumptions!$F$193,1))-1))^Assumptions!$C$75,0)</f>
        <v>0.0268083160529409</v>
      </c>
      <c r="M60" s="99" t="n">
        <f aca="false">IF((Assumptions!$D$94*IF(Assumptions!M$206=2027,1+Assumptions!$F$193,1))&lt;3*Assumptions!M$223*12,Assumptions!$C$73+Assumptions!$C$74*(0.5*(3*Assumptions!M$223*12/(Assumptions!$D$94*IF(Assumptions!M$206=2027,1+Assumptions!$F$193,1))-1))^Assumptions!$C$75,0)</f>
        <v>0.0268083160529409</v>
      </c>
      <c r="N60" s="99" t="n">
        <f aca="false">IF((Assumptions!$D$94*IF(Assumptions!N$206=2027,1+Assumptions!$F$193,1))&lt;3*Assumptions!N$223*12,Assumptions!$C$73+Assumptions!$C$74*(0.5*(3*Assumptions!N$223*12/(Assumptions!$D$94*IF(Assumptions!N$206=2027,1+Assumptions!$F$193,1))-1))^Assumptions!$C$75,0)</f>
        <v>0.0268083160529409</v>
      </c>
      <c r="O60" s="99" t="n">
        <f aca="false">IF((Assumptions!$D$94*IF(Assumptions!O$206=2027,1+Assumptions!$F$193,1))&lt;3*Assumptions!O$223*12,Assumptions!$C$73+Assumptions!$C$74*(0.5*(3*Assumptions!O$223*12/(Assumptions!$D$94*IF(Assumptions!O$206=2027,1+Assumptions!$F$193,1))-1))^Assumptions!$C$75,0)</f>
        <v>0.0268083160529409</v>
      </c>
      <c r="P60" s="99" t="n">
        <f aca="false">IF((Assumptions!$D$94*IF(Assumptions!P$206=2027,1+Assumptions!$F$193,1))&lt;3*Assumptions!P$223*12,Assumptions!$C$73+Assumptions!$C$74*(0.5*(3*Assumptions!P$223*12/(Assumptions!$D$94*IF(Assumptions!P$206=2027,1+Assumptions!$F$193,1))-1))^Assumptions!$C$75,0)</f>
        <v>0.0268083160529409</v>
      </c>
      <c r="Q60" s="99" t="n">
        <f aca="false">IF((Assumptions!$D$94*IF(Assumptions!Q$206=2027,1+Assumptions!$F$193,1))&lt;3*Assumptions!Q$223*12,Assumptions!$C$73+Assumptions!$C$74*(0.5*(3*Assumptions!Q$223*12/(Assumptions!$D$94*IF(Assumptions!Q$206=2027,1+Assumptions!$F$193,1))-1))^Assumptions!$C$75,0)</f>
        <v>0.0259982902031072</v>
      </c>
      <c r="R60" s="99" t="n">
        <f aca="false">IF((Assumptions!$D$94*IF(Assumptions!R$206=2027,1+Assumptions!$F$193,1))&lt;3*Assumptions!R$223*12,Assumptions!$C$73+Assumptions!$C$74*(0.5*(3*Assumptions!R$223*12/(Assumptions!$D$94*IF(Assumptions!R$206=2027,1+Assumptions!$F$193,1))-1))^Assumptions!$C$75,0)</f>
        <v>0.0259982902031072</v>
      </c>
      <c r="S60" s="99" t="n">
        <f aca="false">IF((Assumptions!$D$94*IF(Assumptions!S$206=2027,1+Assumptions!$F$193,1))&lt;3*Assumptions!S$223*12,Assumptions!$C$73+Assumptions!$C$74*(0.5*(3*Assumptions!S$223*12/(Assumptions!$D$94*IF(Assumptions!S$206=2027,1+Assumptions!$F$193,1))-1))^Assumptions!$C$75,0)</f>
        <v>0.0259982902031072</v>
      </c>
      <c r="T60" s="99" t="n">
        <f aca="false">IF((Assumptions!$D$94*IF(Assumptions!T$206=2027,1+Assumptions!$F$193,1))&lt;3*Assumptions!T$223*12,Assumptions!$C$73+Assumptions!$C$74*(0.5*(3*Assumptions!T$223*12/(Assumptions!$D$94*IF(Assumptions!T$206=2027,1+Assumptions!$F$193,1))-1))^Assumptions!$C$75,0)</f>
        <v>0.0259982902031072</v>
      </c>
      <c r="U60" s="99" t="n">
        <f aca="false">IF((Assumptions!$D$94*IF(Assumptions!U$206=2027,1+Assumptions!$F$193,1))&lt;3*Assumptions!U$223*12,Assumptions!$C$73+Assumptions!$C$74*(0.5*(3*Assumptions!U$223*12/(Assumptions!$D$94*IF(Assumptions!U$206=2027,1+Assumptions!$F$193,1))-1))^Assumptions!$C$75,0)</f>
        <v>0.0259982902031072</v>
      </c>
      <c r="V60" s="99" t="n">
        <f aca="false">IF((Assumptions!$D$94*IF(Assumptions!V$206=2027,1+Assumptions!$F$193,1))&lt;3*Assumptions!V$223*12,Assumptions!$C$73+Assumptions!$C$74*(0.5*(3*Assumptions!V$223*12/(Assumptions!$D$94*IF(Assumptions!V$206=2027,1+Assumptions!$F$193,1))-1))^Assumptions!$C$75,0)</f>
        <v>0.0259982902031072</v>
      </c>
      <c r="W60" s="99" t="n">
        <f aca="false">IF((Assumptions!$D$94*IF(Assumptions!W$206=2027,1+Assumptions!$F$193,1))&lt;3*Assumptions!W$223*12,Assumptions!$C$73+Assumptions!$C$74*(0.5*(3*Assumptions!W$223*12/(Assumptions!$D$94*IF(Assumptions!W$206=2027,1+Assumptions!$F$193,1))-1))^Assumptions!$C$75,0)</f>
        <v>0.0259982902031072</v>
      </c>
      <c r="X60" s="99" t="n">
        <f aca="false">IF((Assumptions!$D$94*IF(Assumptions!X$206=2027,1+Assumptions!$F$193,1))&lt;3*Assumptions!X$223*12,Assumptions!$C$73+Assumptions!$C$74*(0.5*(3*Assumptions!X$223*12/(Assumptions!$D$94*IF(Assumptions!X$206=2027,1+Assumptions!$F$193,1))-1))^Assumptions!$C$75,0)</f>
        <v>0.0259982902031072</v>
      </c>
      <c r="Y60" s="99" t="n">
        <f aca="false">IF((Assumptions!$D$94*IF(Assumptions!Y$206=2027,1+Assumptions!$F$193,1))&lt;3*Assumptions!Y$223*12,Assumptions!$C$73+Assumptions!$C$74*(0.5*(3*Assumptions!Y$223*12/(Assumptions!$D$94*IF(Assumptions!Y$206=2027,1+Assumptions!$F$193,1))-1))^Assumptions!$C$75,0)</f>
        <v>0.0259982902031072</v>
      </c>
      <c r="Z60" s="99" t="n">
        <f aca="false">IF((Assumptions!$D$94*IF(Assumptions!Z$206=2027,1+Assumptions!$F$193,1))&lt;3*Assumptions!Z$223*12,Assumptions!$C$73+Assumptions!$C$74*(0.5*(3*Assumptions!Z$223*12/(Assumptions!$D$94*IF(Assumptions!Z$206=2027,1+Assumptions!$F$193,1))-1))^Assumptions!$C$75,0)</f>
        <v>0.0259982902031072</v>
      </c>
      <c r="AA60" s="99" t="n">
        <f aca="false">IF((Assumptions!$D$94*IF(Assumptions!AA$206=2027,1+Assumptions!$F$193,1))&lt;3*Assumptions!AA$223*12,Assumptions!$C$73+Assumptions!$C$74*(0.5*(3*Assumptions!AA$223*12/(Assumptions!$D$94*IF(Assumptions!AA$206=2027,1+Assumptions!$F$193,1))-1))^Assumptions!$C$75,0)</f>
        <v>0.0259982902031072</v>
      </c>
      <c r="AB60" s="99" t="n">
        <f aca="false">IF((Assumptions!$D$94*IF(Assumptions!AB$206=2027,1+Assumptions!$F$193,1))&lt;3*Assumptions!AB$223*12,Assumptions!$C$73+Assumptions!$C$74*(0.5*(3*Assumptions!AB$223*12/(Assumptions!$D$94*IF(Assumptions!AB$206=2027,1+Assumptions!$F$193,1))-1))^Assumptions!$C$75,0)</f>
        <v>0.0259982902031072</v>
      </c>
    </row>
    <row r="61" customFormat="false" ht="15" hidden="false" customHeight="false" outlineLevel="0" collapsed="false">
      <c r="A61" s="28" t="s">
        <v>1145</v>
      </c>
      <c r="B61" s="62" t="s">
        <v>1138</v>
      </c>
      <c r="C61" s="117" t="n">
        <f aca="false">AVERAGE(E61:P61)</f>
        <v>0</v>
      </c>
      <c r="D61" s="117" t="n">
        <f aca="false">AVERAGE(Q61:AB61)</f>
        <v>0</v>
      </c>
      <c r="E61" s="99" t="n">
        <f aca="false">IF((Assumptions!$D$95*IF(Assumptions!E$206=2027,1+Assumptions!$F$193,1))&lt;3*Assumptions!E$223*12,Assumptions!$C$73+Assumptions!$C$74*(0.5*(3*Assumptions!E$223*12/(Assumptions!$D$95*IF(Assumptions!E$206=2027,1+Assumptions!$F$193,1))-1))^Assumptions!$C$75,0)</f>
        <v>0</v>
      </c>
      <c r="F61" s="99" t="n">
        <f aca="false">IF((Assumptions!$D$95*IF(Assumptions!F$206=2027,1+Assumptions!$F$193,1))&lt;3*Assumptions!F$223*12,Assumptions!$C$73+Assumptions!$C$74*(0.5*(3*Assumptions!F$223*12/(Assumptions!$D$95*IF(Assumptions!F$206=2027,1+Assumptions!$F$193,1))-1))^Assumptions!$C$75,0)</f>
        <v>0</v>
      </c>
      <c r="G61" s="99" t="n">
        <f aca="false">IF((Assumptions!$D$95*IF(Assumptions!G$206=2027,1+Assumptions!$F$193,1))&lt;3*Assumptions!G$223*12,Assumptions!$C$73+Assumptions!$C$74*(0.5*(3*Assumptions!G$223*12/(Assumptions!$D$95*IF(Assumptions!G$206=2027,1+Assumptions!$F$193,1))-1))^Assumptions!$C$75,0)</f>
        <v>0</v>
      </c>
      <c r="H61" s="99" t="n">
        <f aca="false">IF((Assumptions!$D$95*IF(Assumptions!H$206=2027,1+Assumptions!$F$193,1))&lt;3*Assumptions!H$223*12,Assumptions!$C$73+Assumptions!$C$74*(0.5*(3*Assumptions!H$223*12/(Assumptions!$D$95*IF(Assumptions!H$206=2027,1+Assumptions!$F$193,1))-1))^Assumptions!$C$75,0)</f>
        <v>0</v>
      </c>
      <c r="I61" s="99" t="n">
        <f aca="false">IF((Assumptions!$D$95*IF(Assumptions!I$206=2027,1+Assumptions!$F$193,1))&lt;3*Assumptions!I$223*12,Assumptions!$C$73+Assumptions!$C$74*(0.5*(3*Assumptions!I$223*12/(Assumptions!$D$95*IF(Assumptions!I$206=2027,1+Assumptions!$F$193,1))-1))^Assumptions!$C$75,0)</f>
        <v>0</v>
      </c>
      <c r="J61" s="99" t="n">
        <f aca="false">IF((Assumptions!$D$95*IF(Assumptions!J$206=2027,1+Assumptions!$F$193,1))&lt;3*Assumptions!J$223*12,Assumptions!$C$73+Assumptions!$C$74*(0.5*(3*Assumptions!J$223*12/(Assumptions!$D$95*IF(Assumptions!J$206=2027,1+Assumptions!$F$193,1))-1))^Assumptions!$C$75,0)</f>
        <v>0</v>
      </c>
      <c r="K61" s="99" t="n">
        <f aca="false">IF((Assumptions!$D$95*IF(Assumptions!K$206=2027,1+Assumptions!$F$193,1))&lt;3*Assumptions!K$223*12,Assumptions!$C$73+Assumptions!$C$74*(0.5*(3*Assumptions!K$223*12/(Assumptions!$D$95*IF(Assumptions!K$206=2027,1+Assumptions!$F$193,1))-1))^Assumptions!$C$75,0)</f>
        <v>0</v>
      </c>
      <c r="L61" s="99" t="n">
        <f aca="false">IF((Assumptions!$D$95*IF(Assumptions!L$206=2027,1+Assumptions!$F$193,1))&lt;3*Assumptions!L$223*12,Assumptions!$C$73+Assumptions!$C$74*(0.5*(3*Assumptions!L$223*12/(Assumptions!$D$95*IF(Assumptions!L$206=2027,1+Assumptions!$F$193,1))-1))^Assumptions!$C$75,0)</f>
        <v>0</v>
      </c>
      <c r="M61" s="99" t="n">
        <f aca="false">IF((Assumptions!$D$95*IF(Assumptions!M$206=2027,1+Assumptions!$F$193,1))&lt;3*Assumptions!M$223*12,Assumptions!$C$73+Assumptions!$C$74*(0.5*(3*Assumptions!M$223*12/(Assumptions!$D$95*IF(Assumptions!M$206=2027,1+Assumptions!$F$193,1))-1))^Assumptions!$C$75,0)</f>
        <v>0</v>
      </c>
      <c r="N61" s="99" t="n">
        <f aca="false">IF((Assumptions!$D$95*IF(Assumptions!N$206=2027,1+Assumptions!$F$193,1))&lt;3*Assumptions!N$223*12,Assumptions!$C$73+Assumptions!$C$74*(0.5*(3*Assumptions!N$223*12/(Assumptions!$D$95*IF(Assumptions!N$206=2027,1+Assumptions!$F$193,1))-1))^Assumptions!$C$75,0)</f>
        <v>0</v>
      </c>
      <c r="O61" s="99" t="n">
        <f aca="false">IF((Assumptions!$D$95*IF(Assumptions!O$206=2027,1+Assumptions!$F$193,1))&lt;3*Assumptions!O$223*12,Assumptions!$C$73+Assumptions!$C$74*(0.5*(3*Assumptions!O$223*12/(Assumptions!$D$95*IF(Assumptions!O$206=2027,1+Assumptions!$F$193,1))-1))^Assumptions!$C$75,0)</f>
        <v>0</v>
      </c>
      <c r="P61" s="99" t="n">
        <f aca="false">IF((Assumptions!$D$95*IF(Assumptions!P$206=2027,1+Assumptions!$F$193,1))&lt;3*Assumptions!P$223*12,Assumptions!$C$73+Assumptions!$C$74*(0.5*(3*Assumptions!P$223*12/(Assumptions!$D$95*IF(Assumptions!P$206=2027,1+Assumptions!$F$193,1))-1))^Assumptions!$C$75,0)</f>
        <v>0</v>
      </c>
      <c r="Q61" s="99" t="n">
        <f aca="false">IF((Assumptions!$D$95*IF(Assumptions!Q$206=2027,1+Assumptions!$F$193,1))&lt;3*Assumptions!Q$223*12,Assumptions!$C$73+Assumptions!$C$74*(0.5*(3*Assumptions!Q$223*12/(Assumptions!$D$95*IF(Assumptions!Q$206=2027,1+Assumptions!$F$193,1))-1))^Assumptions!$C$75,0)</f>
        <v>0</v>
      </c>
      <c r="R61" s="99" t="n">
        <f aca="false">IF((Assumptions!$D$95*IF(Assumptions!R$206=2027,1+Assumptions!$F$193,1))&lt;3*Assumptions!R$223*12,Assumptions!$C$73+Assumptions!$C$74*(0.5*(3*Assumptions!R$223*12/(Assumptions!$D$95*IF(Assumptions!R$206=2027,1+Assumptions!$F$193,1))-1))^Assumptions!$C$75,0)</f>
        <v>0</v>
      </c>
      <c r="S61" s="99" t="n">
        <f aca="false">IF((Assumptions!$D$95*IF(Assumptions!S$206=2027,1+Assumptions!$F$193,1))&lt;3*Assumptions!S$223*12,Assumptions!$C$73+Assumptions!$C$74*(0.5*(3*Assumptions!S$223*12/(Assumptions!$D$95*IF(Assumptions!S$206=2027,1+Assumptions!$F$193,1))-1))^Assumptions!$C$75,0)</f>
        <v>0</v>
      </c>
      <c r="T61" s="99" t="n">
        <f aca="false">IF((Assumptions!$D$95*IF(Assumptions!T$206=2027,1+Assumptions!$F$193,1))&lt;3*Assumptions!T$223*12,Assumptions!$C$73+Assumptions!$C$74*(0.5*(3*Assumptions!T$223*12/(Assumptions!$D$95*IF(Assumptions!T$206=2027,1+Assumptions!$F$193,1))-1))^Assumptions!$C$75,0)</f>
        <v>0</v>
      </c>
      <c r="U61" s="99" t="n">
        <f aca="false">IF((Assumptions!$D$95*IF(Assumptions!U$206=2027,1+Assumptions!$F$193,1))&lt;3*Assumptions!U$223*12,Assumptions!$C$73+Assumptions!$C$74*(0.5*(3*Assumptions!U$223*12/(Assumptions!$D$95*IF(Assumptions!U$206=2027,1+Assumptions!$F$193,1))-1))^Assumptions!$C$75,0)</f>
        <v>0</v>
      </c>
      <c r="V61" s="99" t="n">
        <f aca="false">IF((Assumptions!$D$95*IF(Assumptions!V$206=2027,1+Assumptions!$F$193,1))&lt;3*Assumptions!V$223*12,Assumptions!$C$73+Assumptions!$C$74*(0.5*(3*Assumptions!V$223*12/(Assumptions!$D$95*IF(Assumptions!V$206=2027,1+Assumptions!$F$193,1))-1))^Assumptions!$C$75,0)</f>
        <v>0</v>
      </c>
      <c r="W61" s="99" t="n">
        <f aca="false">IF((Assumptions!$D$95*IF(Assumptions!W$206=2027,1+Assumptions!$F$193,1))&lt;3*Assumptions!W$223*12,Assumptions!$C$73+Assumptions!$C$74*(0.5*(3*Assumptions!W$223*12/(Assumptions!$D$95*IF(Assumptions!W$206=2027,1+Assumptions!$F$193,1))-1))^Assumptions!$C$75,0)</f>
        <v>0</v>
      </c>
      <c r="X61" s="99" t="n">
        <f aca="false">IF((Assumptions!$D$95*IF(Assumptions!X$206=2027,1+Assumptions!$F$193,1))&lt;3*Assumptions!X$223*12,Assumptions!$C$73+Assumptions!$C$74*(0.5*(3*Assumptions!X$223*12/(Assumptions!$D$95*IF(Assumptions!X$206=2027,1+Assumptions!$F$193,1))-1))^Assumptions!$C$75,0)</f>
        <v>0</v>
      </c>
      <c r="Y61" s="99" t="n">
        <f aca="false">IF((Assumptions!$D$95*IF(Assumptions!Y$206=2027,1+Assumptions!$F$193,1))&lt;3*Assumptions!Y$223*12,Assumptions!$C$73+Assumptions!$C$74*(0.5*(3*Assumptions!Y$223*12/(Assumptions!$D$95*IF(Assumptions!Y$206=2027,1+Assumptions!$F$193,1))-1))^Assumptions!$C$75,0)</f>
        <v>0</v>
      </c>
      <c r="Z61" s="99" t="n">
        <f aca="false">IF((Assumptions!$D$95*IF(Assumptions!Z$206=2027,1+Assumptions!$F$193,1))&lt;3*Assumptions!Z$223*12,Assumptions!$C$73+Assumptions!$C$74*(0.5*(3*Assumptions!Z$223*12/(Assumptions!$D$95*IF(Assumptions!Z$206=2027,1+Assumptions!$F$193,1))-1))^Assumptions!$C$75,0)</f>
        <v>0</v>
      </c>
      <c r="AA61" s="99" t="n">
        <f aca="false">IF((Assumptions!$D$95*IF(Assumptions!AA$206=2027,1+Assumptions!$F$193,1))&lt;3*Assumptions!AA$223*12,Assumptions!$C$73+Assumptions!$C$74*(0.5*(3*Assumptions!AA$223*12/(Assumptions!$D$95*IF(Assumptions!AA$206=2027,1+Assumptions!$F$193,1))-1))^Assumptions!$C$75,0)</f>
        <v>0</v>
      </c>
      <c r="AB61" s="99" t="n">
        <f aca="false">IF((Assumptions!$D$95*IF(Assumptions!AB$206=2027,1+Assumptions!$F$193,1))&lt;3*Assumptions!AB$223*12,Assumptions!$C$73+Assumptions!$C$74*(0.5*(3*Assumptions!AB$223*12/(Assumptions!$D$95*IF(Assumptions!AB$206=2027,1+Assumptions!$F$193,1))-1))^Assumptions!$C$75,0)</f>
        <v>0</v>
      </c>
    </row>
    <row r="62" customFormat="false" ht="15" hidden="false" customHeight="false" outlineLevel="0" collapsed="false">
      <c r="A62" s="28" t="s">
        <v>1146</v>
      </c>
      <c r="B62" s="62" t="s">
        <v>1138</v>
      </c>
      <c r="C62" s="117" t="n">
        <f aca="false">AVERAGE(E62:P62)</f>
        <v>0</v>
      </c>
      <c r="D62" s="117" t="n">
        <f aca="false">AVERAGE(Q62:AB62)</f>
        <v>0</v>
      </c>
      <c r="E62" s="99" t="n">
        <f aca="false">IF((Assumptions!$D$96*IF(Assumptions!E$206=2027,1+Assumptions!$F$193,1))&lt;3*Assumptions!E$223*12,Assumptions!$C$73+Assumptions!$C$74*(0.5*(3*Assumptions!E$223*12/(Assumptions!$D$96*IF(Assumptions!E$206=2027,1+Assumptions!$F$193,1))-1))^Assumptions!$C$75,0)</f>
        <v>0</v>
      </c>
      <c r="F62" s="99" t="n">
        <f aca="false">IF((Assumptions!$D$96*IF(Assumptions!F$206=2027,1+Assumptions!$F$193,1))&lt;3*Assumptions!F$223*12,Assumptions!$C$73+Assumptions!$C$74*(0.5*(3*Assumptions!F$223*12/(Assumptions!$D$96*IF(Assumptions!F$206=2027,1+Assumptions!$F$193,1))-1))^Assumptions!$C$75,0)</f>
        <v>0</v>
      </c>
      <c r="G62" s="99" t="n">
        <f aca="false">IF((Assumptions!$D$96*IF(Assumptions!G$206=2027,1+Assumptions!$F$193,1))&lt;3*Assumptions!G$223*12,Assumptions!$C$73+Assumptions!$C$74*(0.5*(3*Assumptions!G$223*12/(Assumptions!$D$96*IF(Assumptions!G$206=2027,1+Assumptions!$F$193,1))-1))^Assumptions!$C$75,0)</f>
        <v>0</v>
      </c>
      <c r="H62" s="99" t="n">
        <f aca="false">IF((Assumptions!$D$96*IF(Assumptions!H$206=2027,1+Assumptions!$F$193,1))&lt;3*Assumptions!H$223*12,Assumptions!$C$73+Assumptions!$C$74*(0.5*(3*Assumptions!H$223*12/(Assumptions!$D$96*IF(Assumptions!H$206=2027,1+Assumptions!$F$193,1))-1))^Assumptions!$C$75,0)</f>
        <v>0</v>
      </c>
      <c r="I62" s="99" t="n">
        <f aca="false">IF((Assumptions!$D$96*IF(Assumptions!I$206=2027,1+Assumptions!$F$193,1))&lt;3*Assumptions!I$223*12,Assumptions!$C$73+Assumptions!$C$74*(0.5*(3*Assumptions!I$223*12/(Assumptions!$D$96*IF(Assumptions!I$206=2027,1+Assumptions!$F$193,1))-1))^Assumptions!$C$75,0)</f>
        <v>0</v>
      </c>
      <c r="J62" s="99" t="n">
        <f aca="false">IF((Assumptions!$D$96*IF(Assumptions!J$206=2027,1+Assumptions!$F$193,1))&lt;3*Assumptions!J$223*12,Assumptions!$C$73+Assumptions!$C$74*(0.5*(3*Assumptions!J$223*12/(Assumptions!$D$96*IF(Assumptions!J$206=2027,1+Assumptions!$F$193,1))-1))^Assumptions!$C$75,0)</f>
        <v>0</v>
      </c>
      <c r="K62" s="99" t="n">
        <f aca="false">IF((Assumptions!$D$96*IF(Assumptions!K$206=2027,1+Assumptions!$F$193,1))&lt;3*Assumptions!K$223*12,Assumptions!$C$73+Assumptions!$C$74*(0.5*(3*Assumptions!K$223*12/(Assumptions!$D$96*IF(Assumptions!K$206=2027,1+Assumptions!$F$193,1))-1))^Assumptions!$C$75,0)</f>
        <v>0</v>
      </c>
      <c r="L62" s="99" t="n">
        <f aca="false">IF((Assumptions!$D$96*IF(Assumptions!L$206=2027,1+Assumptions!$F$193,1))&lt;3*Assumptions!L$223*12,Assumptions!$C$73+Assumptions!$C$74*(0.5*(3*Assumptions!L$223*12/(Assumptions!$D$96*IF(Assumptions!L$206=2027,1+Assumptions!$F$193,1))-1))^Assumptions!$C$75,0)</f>
        <v>0</v>
      </c>
      <c r="M62" s="99" t="n">
        <f aca="false">IF((Assumptions!$D$96*IF(Assumptions!M$206=2027,1+Assumptions!$F$193,1))&lt;3*Assumptions!M$223*12,Assumptions!$C$73+Assumptions!$C$74*(0.5*(3*Assumptions!M$223*12/(Assumptions!$D$96*IF(Assumptions!M$206=2027,1+Assumptions!$F$193,1))-1))^Assumptions!$C$75,0)</f>
        <v>0</v>
      </c>
      <c r="N62" s="99" t="n">
        <f aca="false">IF((Assumptions!$D$96*IF(Assumptions!N$206=2027,1+Assumptions!$F$193,1))&lt;3*Assumptions!N$223*12,Assumptions!$C$73+Assumptions!$C$74*(0.5*(3*Assumptions!N$223*12/(Assumptions!$D$96*IF(Assumptions!N$206=2027,1+Assumptions!$F$193,1))-1))^Assumptions!$C$75,0)</f>
        <v>0</v>
      </c>
      <c r="O62" s="99" t="n">
        <f aca="false">IF((Assumptions!$D$96*IF(Assumptions!O$206=2027,1+Assumptions!$F$193,1))&lt;3*Assumptions!O$223*12,Assumptions!$C$73+Assumptions!$C$74*(0.5*(3*Assumptions!O$223*12/(Assumptions!$D$96*IF(Assumptions!O$206=2027,1+Assumptions!$F$193,1))-1))^Assumptions!$C$75,0)</f>
        <v>0</v>
      </c>
      <c r="P62" s="99" t="n">
        <f aca="false">IF((Assumptions!$D$96*IF(Assumptions!P$206=2027,1+Assumptions!$F$193,1))&lt;3*Assumptions!P$223*12,Assumptions!$C$73+Assumptions!$C$74*(0.5*(3*Assumptions!P$223*12/(Assumptions!$D$96*IF(Assumptions!P$206=2027,1+Assumptions!$F$193,1))-1))^Assumptions!$C$75,0)</f>
        <v>0</v>
      </c>
      <c r="Q62" s="99" t="n">
        <f aca="false">IF((Assumptions!$D$96*IF(Assumptions!Q$206=2027,1+Assumptions!$F$193,1))&lt;3*Assumptions!Q$223*12,Assumptions!$C$73+Assumptions!$C$74*(0.5*(3*Assumptions!Q$223*12/(Assumptions!$D$96*IF(Assumptions!Q$206=2027,1+Assumptions!$F$193,1))-1))^Assumptions!$C$75,0)</f>
        <v>0</v>
      </c>
      <c r="R62" s="99" t="n">
        <f aca="false">IF((Assumptions!$D$96*IF(Assumptions!R$206=2027,1+Assumptions!$F$193,1))&lt;3*Assumptions!R$223*12,Assumptions!$C$73+Assumptions!$C$74*(0.5*(3*Assumptions!R$223*12/(Assumptions!$D$96*IF(Assumptions!R$206=2027,1+Assumptions!$F$193,1))-1))^Assumptions!$C$75,0)</f>
        <v>0</v>
      </c>
      <c r="S62" s="99" t="n">
        <f aca="false">IF((Assumptions!$D$96*IF(Assumptions!S$206=2027,1+Assumptions!$F$193,1))&lt;3*Assumptions!S$223*12,Assumptions!$C$73+Assumptions!$C$74*(0.5*(3*Assumptions!S$223*12/(Assumptions!$D$96*IF(Assumptions!S$206=2027,1+Assumptions!$F$193,1))-1))^Assumptions!$C$75,0)</f>
        <v>0</v>
      </c>
      <c r="T62" s="99" t="n">
        <f aca="false">IF((Assumptions!$D$96*IF(Assumptions!T$206=2027,1+Assumptions!$F$193,1))&lt;3*Assumptions!T$223*12,Assumptions!$C$73+Assumptions!$C$74*(0.5*(3*Assumptions!T$223*12/(Assumptions!$D$96*IF(Assumptions!T$206=2027,1+Assumptions!$F$193,1))-1))^Assumptions!$C$75,0)</f>
        <v>0</v>
      </c>
      <c r="U62" s="99" t="n">
        <f aca="false">IF((Assumptions!$D$96*IF(Assumptions!U$206=2027,1+Assumptions!$F$193,1))&lt;3*Assumptions!U$223*12,Assumptions!$C$73+Assumptions!$C$74*(0.5*(3*Assumptions!U$223*12/(Assumptions!$D$96*IF(Assumptions!U$206=2027,1+Assumptions!$F$193,1))-1))^Assumptions!$C$75,0)</f>
        <v>0</v>
      </c>
      <c r="V62" s="99" t="n">
        <f aca="false">IF((Assumptions!$D$96*IF(Assumptions!V$206=2027,1+Assumptions!$F$193,1))&lt;3*Assumptions!V$223*12,Assumptions!$C$73+Assumptions!$C$74*(0.5*(3*Assumptions!V$223*12/(Assumptions!$D$96*IF(Assumptions!V$206=2027,1+Assumptions!$F$193,1))-1))^Assumptions!$C$75,0)</f>
        <v>0</v>
      </c>
      <c r="W62" s="99" t="n">
        <f aca="false">IF((Assumptions!$D$96*IF(Assumptions!W$206=2027,1+Assumptions!$F$193,1))&lt;3*Assumptions!W$223*12,Assumptions!$C$73+Assumptions!$C$74*(0.5*(3*Assumptions!W$223*12/(Assumptions!$D$96*IF(Assumptions!W$206=2027,1+Assumptions!$F$193,1))-1))^Assumptions!$C$75,0)</f>
        <v>0</v>
      </c>
      <c r="X62" s="99" t="n">
        <f aca="false">IF((Assumptions!$D$96*IF(Assumptions!X$206=2027,1+Assumptions!$F$193,1))&lt;3*Assumptions!X$223*12,Assumptions!$C$73+Assumptions!$C$74*(0.5*(3*Assumptions!X$223*12/(Assumptions!$D$96*IF(Assumptions!X$206=2027,1+Assumptions!$F$193,1))-1))^Assumptions!$C$75,0)</f>
        <v>0</v>
      </c>
      <c r="Y62" s="99" t="n">
        <f aca="false">IF((Assumptions!$D$96*IF(Assumptions!Y$206=2027,1+Assumptions!$F$193,1))&lt;3*Assumptions!Y$223*12,Assumptions!$C$73+Assumptions!$C$74*(0.5*(3*Assumptions!Y$223*12/(Assumptions!$D$96*IF(Assumptions!Y$206=2027,1+Assumptions!$F$193,1))-1))^Assumptions!$C$75,0)</f>
        <v>0</v>
      </c>
      <c r="Z62" s="99" t="n">
        <f aca="false">IF((Assumptions!$D$96*IF(Assumptions!Z$206=2027,1+Assumptions!$F$193,1))&lt;3*Assumptions!Z$223*12,Assumptions!$C$73+Assumptions!$C$74*(0.5*(3*Assumptions!Z$223*12/(Assumptions!$D$96*IF(Assumptions!Z$206=2027,1+Assumptions!$F$193,1))-1))^Assumptions!$C$75,0)</f>
        <v>0</v>
      </c>
      <c r="AA62" s="99" t="n">
        <f aca="false">IF((Assumptions!$D$96*IF(Assumptions!AA$206=2027,1+Assumptions!$F$193,1))&lt;3*Assumptions!AA$223*12,Assumptions!$C$73+Assumptions!$C$74*(0.5*(3*Assumptions!AA$223*12/(Assumptions!$D$96*IF(Assumptions!AA$206=2027,1+Assumptions!$F$193,1))-1))^Assumptions!$C$75,0)</f>
        <v>0</v>
      </c>
      <c r="AB62" s="99" t="n">
        <f aca="false">IF((Assumptions!$D$96*IF(Assumptions!AB$206=2027,1+Assumptions!$F$193,1))&lt;3*Assumptions!AB$223*12,Assumptions!$C$73+Assumptions!$C$74*(0.5*(3*Assumptions!AB$223*12/(Assumptions!$D$96*IF(Assumptions!AB$206=2027,1+Assumptions!$F$193,1))-1))^Assumptions!$C$75,0)</f>
        <v>0</v>
      </c>
    </row>
    <row r="63" customFormat="false" ht="15" hidden="false" customHeight="false" outlineLevel="0" collapsed="false">
      <c r="A63" s="28" t="s">
        <v>1147</v>
      </c>
      <c r="B63" s="62" t="s">
        <v>1138</v>
      </c>
      <c r="C63" s="117" t="n">
        <f aca="false">AVERAGE(E63:P63)</f>
        <v>0.0754895466615072</v>
      </c>
      <c r="D63" s="117" t="n">
        <f aca="false">AVERAGE(Q63:AB63)</f>
        <v>0.0750089624883085</v>
      </c>
      <c r="E63" s="99" t="n">
        <f aca="false">IF((Assumptions!$D$97*IF(Assumptions!E$206=2027,1+Assumptions!$F$193,1))&lt;3*Assumptions!E$223*12,Assumptions!$C$73+Assumptions!$C$74*(0.5*(3*Assumptions!E$223*12/(Assumptions!$D$97*IF(Assumptions!E$206=2027,1+Assumptions!$F$193,1))-1))^Assumptions!$C$75,0)</f>
        <v>0.0721257527516195</v>
      </c>
      <c r="F63" s="99" t="n">
        <f aca="false">IF((Assumptions!$D$97*IF(Assumptions!F$206=2027,1+Assumptions!$F$193,1))&lt;3*Assumptions!F$223*12,Assumptions!$C$73+Assumptions!$C$74*(0.5*(3*Assumptions!F$223*12/(Assumptions!$D$97*IF(Assumptions!F$206=2027,1+Assumptions!$F$193,1))-1))^Assumptions!$C$75,0)</f>
        <v>0.0721257527516195</v>
      </c>
      <c r="G63" s="99" t="n">
        <f aca="false">IF((Assumptions!$D$97*IF(Assumptions!G$206=2027,1+Assumptions!$F$193,1))&lt;3*Assumptions!G$223*12,Assumptions!$C$73+Assumptions!$C$74*(0.5*(3*Assumptions!G$223*12/(Assumptions!$D$97*IF(Assumptions!G$206=2027,1+Assumptions!$F$193,1))-1))^Assumptions!$C$75,0)</f>
        <v>0.0721257527516195</v>
      </c>
      <c r="H63" s="99" t="n">
        <f aca="false">IF((Assumptions!$D$97*IF(Assumptions!H$206=2027,1+Assumptions!$F$193,1))&lt;3*Assumptions!H$223*12,Assumptions!$C$73+Assumptions!$C$74*(0.5*(3*Assumptions!H$223*12/(Assumptions!$D$97*IF(Assumptions!H$206=2027,1+Assumptions!$F$193,1))-1))^Assumptions!$C$75,0)</f>
        <v>0.0721257527516195</v>
      </c>
      <c r="I63" s="99" t="n">
        <f aca="false">IF((Assumptions!$D$97*IF(Assumptions!I$206=2027,1+Assumptions!$F$193,1))&lt;3*Assumptions!I$223*12,Assumptions!$C$73+Assumptions!$C$74*(0.5*(3*Assumptions!I$223*12/(Assumptions!$D$97*IF(Assumptions!I$206=2027,1+Assumptions!$F$193,1))-1))^Assumptions!$C$75,0)</f>
        <v>0.0721257527516195</v>
      </c>
      <c r="J63" s="99" t="n">
        <f aca="false">IF((Assumptions!$D$97*IF(Assumptions!J$206=2027,1+Assumptions!$F$193,1))&lt;3*Assumptions!J$223*12,Assumptions!$C$73+Assumptions!$C$74*(0.5*(3*Assumptions!J$223*12/(Assumptions!$D$97*IF(Assumptions!J$206=2027,1+Assumptions!$F$193,1))-1))^Assumptions!$C$75,0)</f>
        <v>0.0778922565971413</v>
      </c>
      <c r="K63" s="99" t="n">
        <f aca="false">IF((Assumptions!$D$97*IF(Assumptions!K$206=2027,1+Assumptions!$F$193,1))&lt;3*Assumptions!K$223*12,Assumptions!$C$73+Assumptions!$C$74*(0.5*(3*Assumptions!K$223*12/(Assumptions!$D$97*IF(Assumptions!K$206=2027,1+Assumptions!$F$193,1))-1))^Assumptions!$C$75,0)</f>
        <v>0.0778922565971413</v>
      </c>
      <c r="L63" s="99" t="n">
        <f aca="false">IF((Assumptions!$D$97*IF(Assumptions!L$206=2027,1+Assumptions!$F$193,1))&lt;3*Assumptions!L$223*12,Assumptions!$C$73+Assumptions!$C$74*(0.5*(3*Assumptions!L$223*12/(Assumptions!$D$97*IF(Assumptions!L$206=2027,1+Assumptions!$F$193,1))-1))^Assumptions!$C$75,0)</f>
        <v>0.0778922565971413</v>
      </c>
      <c r="M63" s="99" t="n">
        <f aca="false">IF((Assumptions!$D$97*IF(Assumptions!M$206=2027,1+Assumptions!$F$193,1))&lt;3*Assumptions!M$223*12,Assumptions!$C$73+Assumptions!$C$74*(0.5*(3*Assumptions!M$223*12/(Assumptions!$D$97*IF(Assumptions!M$206=2027,1+Assumptions!$F$193,1))-1))^Assumptions!$C$75,0)</f>
        <v>0.0778922565971413</v>
      </c>
      <c r="N63" s="99" t="n">
        <f aca="false">IF((Assumptions!$D$97*IF(Assumptions!N$206=2027,1+Assumptions!$F$193,1))&lt;3*Assumptions!N$223*12,Assumptions!$C$73+Assumptions!$C$74*(0.5*(3*Assumptions!N$223*12/(Assumptions!$D$97*IF(Assumptions!N$206=2027,1+Assumptions!$F$193,1))-1))^Assumptions!$C$75,0)</f>
        <v>0.0778922565971413</v>
      </c>
      <c r="O63" s="99" t="n">
        <f aca="false">IF((Assumptions!$D$97*IF(Assumptions!O$206=2027,1+Assumptions!$F$193,1))&lt;3*Assumptions!O$223*12,Assumptions!$C$73+Assumptions!$C$74*(0.5*(3*Assumptions!O$223*12/(Assumptions!$D$97*IF(Assumptions!O$206=2027,1+Assumptions!$F$193,1))-1))^Assumptions!$C$75,0)</f>
        <v>0.0778922565971413</v>
      </c>
      <c r="P63" s="99" t="n">
        <f aca="false">IF((Assumptions!$D$97*IF(Assumptions!P$206=2027,1+Assumptions!$F$193,1))&lt;3*Assumptions!P$223*12,Assumptions!$C$73+Assumptions!$C$74*(0.5*(3*Assumptions!P$223*12/(Assumptions!$D$97*IF(Assumptions!P$206=2027,1+Assumptions!$F$193,1))-1))^Assumptions!$C$75,0)</f>
        <v>0.0778922565971413</v>
      </c>
      <c r="Q63" s="99" t="n">
        <f aca="false">IF((Assumptions!$D$97*IF(Assumptions!Q$206=2027,1+Assumptions!$F$193,1))&lt;3*Assumptions!Q$223*12,Assumptions!$C$73+Assumptions!$C$74*(0.5*(3*Assumptions!Q$223*12/(Assumptions!$D$97*IF(Assumptions!Q$206=2027,1+Assumptions!$F$193,1))-1))^Assumptions!$C$75,0)</f>
        <v>0.0750089624883085</v>
      </c>
      <c r="R63" s="99" t="n">
        <f aca="false">IF((Assumptions!$D$97*IF(Assumptions!R$206=2027,1+Assumptions!$F$193,1))&lt;3*Assumptions!R$223*12,Assumptions!$C$73+Assumptions!$C$74*(0.5*(3*Assumptions!R$223*12/(Assumptions!$D$97*IF(Assumptions!R$206=2027,1+Assumptions!$F$193,1))-1))^Assumptions!$C$75,0)</f>
        <v>0.0750089624883085</v>
      </c>
      <c r="S63" s="99" t="n">
        <f aca="false">IF((Assumptions!$D$97*IF(Assumptions!S$206=2027,1+Assumptions!$F$193,1))&lt;3*Assumptions!S$223*12,Assumptions!$C$73+Assumptions!$C$74*(0.5*(3*Assumptions!S$223*12/(Assumptions!$D$97*IF(Assumptions!S$206=2027,1+Assumptions!$F$193,1))-1))^Assumptions!$C$75,0)</f>
        <v>0.0750089624883085</v>
      </c>
      <c r="T63" s="99" t="n">
        <f aca="false">IF((Assumptions!$D$97*IF(Assumptions!T$206=2027,1+Assumptions!$F$193,1))&lt;3*Assumptions!T$223*12,Assumptions!$C$73+Assumptions!$C$74*(0.5*(3*Assumptions!T$223*12/(Assumptions!$D$97*IF(Assumptions!T$206=2027,1+Assumptions!$F$193,1))-1))^Assumptions!$C$75,0)</f>
        <v>0.0750089624883085</v>
      </c>
      <c r="U63" s="99" t="n">
        <f aca="false">IF((Assumptions!$D$97*IF(Assumptions!U$206=2027,1+Assumptions!$F$193,1))&lt;3*Assumptions!U$223*12,Assumptions!$C$73+Assumptions!$C$74*(0.5*(3*Assumptions!U$223*12/(Assumptions!$D$97*IF(Assumptions!U$206=2027,1+Assumptions!$F$193,1))-1))^Assumptions!$C$75,0)</f>
        <v>0.0750089624883085</v>
      </c>
      <c r="V63" s="99" t="n">
        <f aca="false">IF((Assumptions!$D$97*IF(Assumptions!V$206=2027,1+Assumptions!$F$193,1))&lt;3*Assumptions!V$223*12,Assumptions!$C$73+Assumptions!$C$74*(0.5*(3*Assumptions!V$223*12/(Assumptions!$D$97*IF(Assumptions!V$206=2027,1+Assumptions!$F$193,1))-1))^Assumptions!$C$75,0)</f>
        <v>0.0750089624883085</v>
      </c>
      <c r="W63" s="99" t="n">
        <f aca="false">IF((Assumptions!$D$97*IF(Assumptions!W$206=2027,1+Assumptions!$F$193,1))&lt;3*Assumptions!W$223*12,Assumptions!$C$73+Assumptions!$C$74*(0.5*(3*Assumptions!W$223*12/(Assumptions!$D$97*IF(Assumptions!W$206=2027,1+Assumptions!$F$193,1))-1))^Assumptions!$C$75,0)</f>
        <v>0.0750089624883085</v>
      </c>
      <c r="X63" s="99" t="n">
        <f aca="false">IF((Assumptions!$D$97*IF(Assumptions!X$206=2027,1+Assumptions!$F$193,1))&lt;3*Assumptions!X$223*12,Assumptions!$C$73+Assumptions!$C$74*(0.5*(3*Assumptions!X$223*12/(Assumptions!$D$97*IF(Assumptions!X$206=2027,1+Assumptions!$F$193,1))-1))^Assumptions!$C$75,0)</f>
        <v>0.0750089624883085</v>
      </c>
      <c r="Y63" s="99" t="n">
        <f aca="false">IF((Assumptions!$D$97*IF(Assumptions!Y$206=2027,1+Assumptions!$F$193,1))&lt;3*Assumptions!Y$223*12,Assumptions!$C$73+Assumptions!$C$74*(0.5*(3*Assumptions!Y$223*12/(Assumptions!$D$97*IF(Assumptions!Y$206=2027,1+Assumptions!$F$193,1))-1))^Assumptions!$C$75,0)</f>
        <v>0.0750089624883085</v>
      </c>
      <c r="Z63" s="99" t="n">
        <f aca="false">IF((Assumptions!$D$97*IF(Assumptions!Z$206=2027,1+Assumptions!$F$193,1))&lt;3*Assumptions!Z$223*12,Assumptions!$C$73+Assumptions!$C$74*(0.5*(3*Assumptions!Z$223*12/(Assumptions!$D$97*IF(Assumptions!Z$206=2027,1+Assumptions!$F$193,1))-1))^Assumptions!$C$75,0)</f>
        <v>0.0750089624883085</v>
      </c>
      <c r="AA63" s="99" t="n">
        <f aca="false">IF((Assumptions!$D$97*IF(Assumptions!AA$206=2027,1+Assumptions!$F$193,1))&lt;3*Assumptions!AA$223*12,Assumptions!$C$73+Assumptions!$C$74*(0.5*(3*Assumptions!AA$223*12/(Assumptions!$D$97*IF(Assumptions!AA$206=2027,1+Assumptions!$F$193,1))-1))^Assumptions!$C$75,0)</f>
        <v>0.0750089624883085</v>
      </c>
      <c r="AB63" s="99" t="n">
        <f aca="false">IF((Assumptions!$D$97*IF(Assumptions!AB$206=2027,1+Assumptions!$F$193,1))&lt;3*Assumptions!AB$223*12,Assumptions!$C$73+Assumptions!$C$74*(0.5*(3*Assumptions!AB$223*12/(Assumptions!$D$97*IF(Assumptions!AB$206=2027,1+Assumptions!$F$193,1))-1))^Assumptions!$C$75,0)</f>
        <v>0.0750089624883085</v>
      </c>
    </row>
    <row r="64" customFormat="false" ht="15" hidden="false" customHeight="false" outlineLevel="0" collapsed="false">
      <c r="A64" s="28" t="s">
        <v>1148</v>
      </c>
      <c r="B64" s="62" t="s">
        <v>1138</v>
      </c>
      <c r="C64" s="117" t="n">
        <f aca="false">AVERAGE(E64:P64)</f>
        <v>0.0240081728251614</v>
      </c>
      <c r="D64" s="117" t="n">
        <f aca="false">AVERAGE(Q64:AB64)</f>
        <v>0.0238864631591328</v>
      </c>
      <c r="E64" s="99" t="n">
        <f aca="false">IF((Assumptions!$D$98*IF(Assumptions!E$206=2027,1+Assumptions!$F$193,1))&lt;3*Assumptions!E$223*12,Assumptions!$C$73+Assumptions!$C$74*(0.5*(3*Assumptions!E$223*12/(Assumptions!$D$98*IF(Assumptions!E$206=2027,1+Assumptions!$F$193,1))-1))^Assumptions!$C$75,0)</f>
        <v>0.0232636370316792</v>
      </c>
      <c r="F64" s="99" t="n">
        <f aca="false">IF((Assumptions!$D$98*IF(Assumptions!F$206=2027,1+Assumptions!$F$193,1))&lt;3*Assumptions!F$223*12,Assumptions!$C$73+Assumptions!$C$74*(0.5*(3*Assumptions!F$223*12/(Assumptions!$D$98*IF(Assumptions!F$206=2027,1+Assumptions!$F$193,1))-1))^Assumptions!$C$75,0)</f>
        <v>0.0232636370316792</v>
      </c>
      <c r="G64" s="99" t="n">
        <f aca="false">IF((Assumptions!$D$98*IF(Assumptions!G$206=2027,1+Assumptions!$F$193,1))&lt;3*Assumptions!G$223*12,Assumptions!$C$73+Assumptions!$C$74*(0.5*(3*Assumptions!G$223*12/(Assumptions!$D$98*IF(Assumptions!G$206=2027,1+Assumptions!$F$193,1))-1))^Assumptions!$C$75,0)</f>
        <v>0.0232636370316792</v>
      </c>
      <c r="H64" s="99" t="n">
        <f aca="false">IF((Assumptions!$D$98*IF(Assumptions!H$206=2027,1+Assumptions!$F$193,1))&lt;3*Assumptions!H$223*12,Assumptions!$C$73+Assumptions!$C$74*(0.5*(3*Assumptions!H$223*12/(Assumptions!$D$98*IF(Assumptions!H$206=2027,1+Assumptions!$F$193,1))-1))^Assumptions!$C$75,0)</f>
        <v>0.0232636370316792</v>
      </c>
      <c r="I64" s="99" t="n">
        <f aca="false">IF((Assumptions!$D$98*IF(Assumptions!I$206=2027,1+Assumptions!$F$193,1))&lt;3*Assumptions!I$223*12,Assumptions!$C$73+Assumptions!$C$74*(0.5*(3*Assumptions!I$223*12/(Assumptions!$D$98*IF(Assumptions!I$206=2027,1+Assumptions!$F$193,1))-1))^Assumptions!$C$75,0)</f>
        <v>0.0232636370316792</v>
      </c>
      <c r="J64" s="99" t="n">
        <f aca="false">IF((Assumptions!$D$98*IF(Assumptions!J$206=2027,1+Assumptions!$F$193,1))&lt;3*Assumptions!J$223*12,Assumptions!$C$73+Assumptions!$C$74*(0.5*(3*Assumptions!J$223*12/(Assumptions!$D$98*IF(Assumptions!J$206=2027,1+Assumptions!$F$193,1))-1))^Assumptions!$C$75,0)</f>
        <v>0.0245399841062201</v>
      </c>
      <c r="K64" s="99" t="n">
        <f aca="false">IF((Assumptions!$D$98*IF(Assumptions!K$206=2027,1+Assumptions!$F$193,1))&lt;3*Assumptions!K$223*12,Assumptions!$C$73+Assumptions!$C$74*(0.5*(3*Assumptions!K$223*12/(Assumptions!$D$98*IF(Assumptions!K$206=2027,1+Assumptions!$F$193,1))-1))^Assumptions!$C$75,0)</f>
        <v>0.0245399841062201</v>
      </c>
      <c r="L64" s="99" t="n">
        <f aca="false">IF((Assumptions!$D$98*IF(Assumptions!L$206=2027,1+Assumptions!$F$193,1))&lt;3*Assumptions!L$223*12,Assumptions!$C$73+Assumptions!$C$74*(0.5*(3*Assumptions!L$223*12/(Assumptions!$D$98*IF(Assumptions!L$206=2027,1+Assumptions!$F$193,1))-1))^Assumptions!$C$75,0)</f>
        <v>0.0245399841062201</v>
      </c>
      <c r="M64" s="99" t="n">
        <f aca="false">IF((Assumptions!$D$98*IF(Assumptions!M$206=2027,1+Assumptions!$F$193,1))&lt;3*Assumptions!M$223*12,Assumptions!$C$73+Assumptions!$C$74*(0.5*(3*Assumptions!M$223*12/(Assumptions!$D$98*IF(Assumptions!M$206=2027,1+Assumptions!$F$193,1))-1))^Assumptions!$C$75,0)</f>
        <v>0.0245399841062201</v>
      </c>
      <c r="N64" s="99" t="n">
        <f aca="false">IF((Assumptions!$D$98*IF(Assumptions!N$206=2027,1+Assumptions!$F$193,1))&lt;3*Assumptions!N$223*12,Assumptions!$C$73+Assumptions!$C$74*(0.5*(3*Assumptions!N$223*12/(Assumptions!$D$98*IF(Assumptions!N$206=2027,1+Assumptions!$F$193,1))-1))^Assumptions!$C$75,0)</f>
        <v>0.0245399841062201</v>
      </c>
      <c r="O64" s="99" t="n">
        <f aca="false">IF((Assumptions!$D$98*IF(Assumptions!O$206=2027,1+Assumptions!$F$193,1))&lt;3*Assumptions!O$223*12,Assumptions!$C$73+Assumptions!$C$74*(0.5*(3*Assumptions!O$223*12/(Assumptions!$D$98*IF(Assumptions!O$206=2027,1+Assumptions!$F$193,1))-1))^Assumptions!$C$75,0)</f>
        <v>0.0245399841062201</v>
      </c>
      <c r="P64" s="99" t="n">
        <f aca="false">IF((Assumptions!$D$98*IF(Assumptions!P$206=2027,1+Assumptions!$F$193,1))&lt;3*Assumptions!P$223*12,Assumptions!$C$73+Assumptions!$C$74*(0.5*(3*Assumptions!P$223*12/(Assumptions!$D$98*IF(Assumptions!P$206=2027,1+Assumptions!$F$193,1))-1))^Assumptions!$C$75,0)</f>
        <v>0.0245399841062201</v>
      </c>
      <c r="Q64" s="99" t="n">
        <f aca="false">IF((Assumptions!$D$98*IF(Assumptions!Q$206=2027,1+Assumptions!$F$193,1))&lt;3*Assumptions!Q$223*12,Assumptions!$C$73+Assumptions!$C$74*(0.5*(3*Assumptions!Q$223*12/(Assumptions!$D$98*IF(Assumptions!Q$206=2027,1+Assumptions!$F$193,1))-1))^Assumptions!$C$75,0)</f>
        <v>0.0238864631591328</v>
      </c>
      <c r="R64" s="99" t="n">
        <f aca="false">IF((Assumptions!$D$98*IF(Assumptions!R$206=2027,1+Assumptions!$F$193,1))&lt;3*Assumptions!R$223*12,Assumptions!$C$73+Assumptions!$C$74*(0.5*(3*Assumptions!R$223*12/(Assumptions!$D$98*IF(Assumptions!R$206=2027,1+Assumptions!$F$193,1))-1))^Assumptions!$C$75,0)</f>
        <v>0.0238864631591328</v>
      </c>
      <c r="S64" s="99" t="n">
        <f aca="false">IF((Assumptions!$D$98*IF(Assumptions!S$206=2027,1+Assumptions!$F$193,1))&lt;3*Assumptions!S$223*12,Assumptions!$C$73+Assumptions!$C$74*(0.5*(3*Assumptions!S$223*12/(Assumptions!$D$98*IF(Assumptions!S$206=2027,1+Assumptions!$F$193,1))-1))^Assumptions!$C$75,0)</f>
        <v>0.0238864631591328</v>
      </c>
      <c r="T64" s="99" t="n">
        <f aca="false">IF((Assumptions!$D$98*IF(Assumptions!T$206=2027,1+Assumptions!$F$193,1))&lt;3*Assumptions!T$223*12,Assumptions!$C$73+Assumptions!$C$74*(0.5*(3*Assumptions!T$223*12/(Assumptions!$D$98*IF(Assumptions!T$206=2027,1+Assumptions!$F$193,1))-1))^Assumptions!$C$75,0)</f>
        <v>0.0238864631591328</v>
      </c>
      <c r="U64" s="99" t="n">
        <f aca="false">IF((Assumptions!$D$98*IF(Assumptions!U$206=2027,1+Assumptions!$F$193,1))&lt;3*Assumptions!U$223*12,Assumptions!$C$73+Assumptions!$C$74*(0.5*(3*Assumptions!U$223*12/(Assumptions!$D$98*IF(Assumptions!U$206=2027,1+Assumptions!$F$193,1))-1))^Assumptions!$C$75,0)</f>
        <v>0.0238864631591328</v>
      </c>
      <c r="V64" s="99" t="n">
        <f aca="false">IF((Assumptions!$D$98*IF(Assumptions!V$206=2027,1+Assumptions!$F$193,1))&lt;3*Assumptions!V$223*12,Assumptions!$C$73+Assumptions!$C$74*(0.5*(3*Assumptions!V$223*12/(Assumptions!$D$98*IF(Assumptions!V$206=2027,1+Assumptions!$F$193,1))-1))^Assumptions!$C$75,0)</f>
        <v>0.0238864631591328</v>
      </c>
      <c r="W64" s="99" t="n">
        <f aca="false">IF((Assumptions!$D$98*IF(Assumptions!W$206=2027,1+Assumptions!$F$193,1))&lt;3*Assumptions!W$223*12,Assumptions!$C$73+Assumptions!$C$74*(0.5*(3*Assumptions!W$223*12/(Assumptions!$D$98*IF(Assumptions!W$206=2027,1+Assumptions!$F$193,1))-1))^Assumptions!$C$75,0)</f>
        <v>0.0238864631591328</v>
      </c>
      <c r="X64" s="99" t="n">
        <f aca="false">IF((Assumptions!$D$98*IF(Assumptions!X$206=2027,1+Assumptions!$F$193,1))&lt;3*Assumptions!X$223*12,Assumptions!$C$73+Assumptions!$C$74*(0.5*(3*Assumptions!X$223*12/(Assumptions!$D$98*IF(Assumptions!X$206=2027,1+Assumptions!$F$193,1))-1))^Assumptions!$C$75,0)</f>
        <v>0.0238864631591328</v>
      </c>
      <c r="Y64" s="99" t="n">
        <f aca="false">IF((Assumptions!$D$98*IF(Assumptions!Y$206=2027,1+Assumptions!$F$193,1))&lt;3*Assumptions!Y$223*12,Assumptions!$C$73+Assumptions!$C$74*(0.5*(3*Assumptions!Y$223*12/(Assumptions!$D$98*IF(Assumptions!Y$206=2027,1+Assumptions!$F$193,1))-1))^Assumptions!$C$75,0)</f>
        <v>0.0238864631591328</v>
      </c>
      <c r="Z64" s="99" t="n">
        <f aca="false">IF((Assumptions!$D$98*IF(Assumptions!Z$206=2027,1+Assumptions!$F$193,1))&lt;3*Assumptions!Z$223*12,Assumptions!$C$73+Assumptions!$C$74*(0.5*(3*Assumptions!Z$223*12/(Assumptions!$D$98*IF(Assumptions!Z$206=2027,1+Assumptions!$F$193,1))-1))^Assumptions!$C$75,0)</f>
        <v>0.0238864631591328</v>
      </c>
      <c r="AA64" s="99" t="n">
        <f aca="false">IF((Assumptions!$D$98*IF(Assumptions!AA$206=2027,1+Assumptions!$F$193,1))&lt;3*Assumptions!AA$223*12,Assumptions!$C$73+Assumptions!$C$74*(0.5*(3*Assumptions!AA$223*12/(Assumptions!$D$98*IF(Assumptions!AA$206=2027,1+Assumptions!$F$193,1))-1))^Assumptions!$C$75,0)</f>
        <v>0.0238864631591328</v>
      </c>
      <c r="AB64" s="99" t="n">
        <f aca="false">IF((Assumptions!$D$98*IF(Assumptions!AB$206=2027,1+Assumptions!$F$193,1))&lt;3*Assumptions!AB$223*12,Assumptions!$C$73+Assumptions!$C$74*(0.5*(3*Assumptions!AB$223*12/(Assumptions!$D$98*IF(Assumptions!AB$206=2027,1+Assumptions!$F$193,1))-1))^Assumptions!$C$75,0)</f>
        <v>0.0238864631591328</v>
      </c>
    </row>
    <row r="65" customFormat="false" ht="15" hidden="false" customHeight="false" outlineLevel="0" collapsed="false">
      <c r="A65" s="28" t="s">
        <v>1149</v>
      </c>
      <c r="B65" s="62" t="s">
        <v>1138</v>
      </c>
      <c r="C65" s="117" t="n">
        <f aca="false">AVERAGE(E65:P65)</f>
        <v>0</v>
      </c>
      <c r="D65" s="117" t="n">
        <f aca="false">AVERAGE(Q65:AB65)</f>
        <v>0</v>
      </c>
      <c r="E65" s="99" t="n">
        <f aca="false">IF((Assumptions!$D$99*IF(Assumptions!E$206=2027,1+Assumptions!$F$193,1))&lt;3*Assumptions!E$223*12,Assumptions!$C$73+Assumptions!$C$74*(0.5*(3*Assumptions!E$223*12/(Assumptions!$D$99*IF(Assumptions!E$206=2027,1+Assumptions!$F$193,1))-1))^Assumptions!$C$75,0)</f>
        <v>0</v>
      </c>
      <c r="F65" s="99" t="n">
        <f aca="false">IF((Assumptions!$D$99*IF(Assumptions!F$206=2027,1+Assumptions!$F$193,1))&lt;3*Assumptions!F$223*12,Assumptions!$C$73+Assumptions!$C$74*(0.5*(3*Assumptions!F$223*12/(Assumptions!$D$99*IF(Assumptions!F$206=2027,1+Assumptions!$F$193,1))-1))^Assumptions!$C$75,0)</f>
        <v>0</v>
      </c>
      <c r="G65" s="99" t="n">
        <f aca="false">IF((Assumptions!$D$99*IF(Assumptions!G$206=2027,1+Assumptions!$F$193,1))&lt;3*Assumptions!G$223*12,Assumptions!$C$73+Assumptions!$C$74*(0.5*(3*Assumptions!G$223*12/(Assumptions!$D$99*IF(Assumptions!G$206=2027,1+Assumptions!$F$193,1))-1))^Assumptions!$C$75,0)</f>
        <v>0</v>
      </c>
      <c r="H65" s="99" t="n">
        <f aca="false">IF((Assumptions!$D$99*IF(Assumptions!H$206=2027,1+Assumptions!$F$193,1))&lt;3*Assumptions!H$223*12,Assumptions!$C$73+Assumptions!$C$74*(0.5*(3*Assumptions!H$223*12/(Assumptions!$D$99*IF(Assumptions!H$206=2027,1+Assumptions!$F$193,1))-1))^Assumptions!$C$75,0)</f>
        <v>0</v>
      </c>
      <c r="I65" s="99" t="n">
        <f aca="false">IF((Assumptions!$D$99*IF(Assumptions!I$206=2027,1+Assumptions!$F$193,1))&lt;3*Assumptions!I$223*12,Assumptions!$C$73+Assumptions!$C$74*(0.5*(3*Assumptions!I$223*12/(Assumptions!$D$99*IF(Assumptions!I$206=2027,1+Assumptions!$F$193,1))-1))^Assumptions!$C$75,0)</f>
        <v>0</v>
      </c>
      <c r="J65" s="99" t="n">
        <f aca="false">IF((Assumptions!$D$99*IF(Assumptions!J$206=2027,1+Assumptions!$F$193,1))&lt;3*Assumptions!J$223*12,Assumptions!$C$73+Assumptions!$C$74*(0.5*(3*Assumptions!J$223*12/(Assumptions!$D$99*IF(Assumptions!J$206=2027,1+Assumptions!$F$193,1))-1))^Assumptions!$C$75,0)</f>
        <v>0</v>
      </c>
      <c r="K65" s="99" t="n">
        <f aca="false">IF((Assumptions!$D$99*IF(Assumptions!K$206=2027,1+Assumptions!$F$193,1))&lt;3*Assumptions!K$223*12,Assumptions!$C$73+Assumptions!$C$74*(0.5*(3*Assumptions!K$223*12/(Assumptions!$D$99*IF(Assumptions!K$206=2027,1+Assumptions!$F$193,1))-1))^Assumptions!$C$75,0)</f>
        <v>0</v>
      </c>
      <c r="L65" s="99" t="n">
        <f aca="false">IF((Assumptions!$D$99*IF(Assumptions!L$206=2027,1+Assumptions!$F$193,1))&lt;3*Assumptions!L$223*12,Assumptions!$C$73+Assumptions!$C$74*(0.5*(3*Assumptions!L$223*12/(Assumptions!$D$99*IF(Assumptions!L$206=2027,1+Assumptions!$F$193,1))-1))^Assumptions!$C$75,0)</f>
        <v>0</v>
      </c>
      <c r="M65" s="99" t="n">
        <f aca="false">IF((Assumptions!$D$99*IF(Assumptions!M$206=2027,1+Assumptions!$F$193,1))&lt;3*Assumptions!M$223*12,Assumptions!$C$73+Assumptions!$C$74*(0.5*(3*Assumptions!M$223*12/(Assumptions!$D$99*IF(Assumptions!M$206=2027,1+Assumptions!$F$193,1))-1))^Assumptions!$C$75,0)</f>
        <v>0</v>
      </c>
      <c r="N65" s="99" t="n">
        <f aca="false">IF((Assumptions!$D$99*IF(Assumptions!N$206=2027,1+Assumptions!$F$193,1))&lt;3*Assumptions!N$223*12,Assumptions!$C$73+Assumptions!$C$74*(0.5*(3*Assumptions!N$223*12/(Assumptions!$D$99*IF(Assumptions!N$206=2027,1+Assumptions!$F$193,1))-1))^Assumptions!$C$75,0)</f>
        <v>0</v>
      </c>
      <c r="O65" s="99" t="n">
        <f aca="false">IF((Assumptions!$D$99*IF(Assumptions!O$206=2027,1+Assumptions!$F$193,1))&lt;3*Assumptions!O$223*12,Assumptions!$C$73+Assumptions!$C$74*(0.5*(3*Assumptions!O$223*12/(Assumptions!$D$99*IF(Assumptions!O$206=2027,1+Assumptions!$F$193,1))-1))^Assumptions!$C$75,0)</f>
        <v>0</v>
      </c>
      <c r="P65" s="99" t="n">
        <f aca="false">IF((Assumptions!$D$99*IF(Assumptions!P$206=2027,1+Assumptions!$F$193,1))&lt;3*Assumptions!P$223*12,Assumptions!$C$73+Assumptions!$C$74*(0.5*(3*Assumptions!P$223*12/(Assumptions!$D$99*IF(Assumptions!P$206=2027,1+Assumptions!$F$193,1))-1))^Assumptions!$C$75,0)</f>
        <v>0</v>
      </c>
      <c r="Q65" s="99" t="n">
        <f aca="false">IF((Assumptions!$D$99*IF(Assumptions!Q$206=2027,1+Assumptions!$F$193,1))&lt;3*Assumptions!Q$223*12,Assumptions!$C$73+Assumptions!$C$74*(0.5*(3*Assumptions!Q$223*12/(Assumptions!$D$99*IF(Assumptions!Q$206=2027,1+Assumptions!$F$193,1))-1))^Assumptions!$C$75,0)</f>
        <v>0</v>
      </c>
      <c r="R65" s="99" t="n">
        <f aca="false">IF((Assumptions!$D$99*IF(Assumptions!R$206=2027,1+Assumptions!$F$193,1))&lt;3*Assumptions!R$223*12,Assumptions!$C$73+Assumptions!$C$74*(0.5*(3*Assumptions!R$223*12/(Assumptions!$D$99*IF(Assumptions!R$206=2027,1+Assumptions!$F$193,1))-1))^Assumptions!$C$75,0)</f>
        <v>0</v>
      </c>
      <c r="S65" s="99" t="n">
        <f aca="false">IF((Assumptions!$D$99*IF(Assumptions!S$206=2027,1+Assumptions!$F$193,1))&lt;3*Assumptions!S$223*12,Assumptions!$C$73+Assumptions!$C$74*(0.5*(3*Assumptions!S$223*12/(Assumptions!$D$99*IF(Assumptions!S$206=2027,1+Assumptions!$F$193,1))-1))^Assumptions!$C$75,0)</f>
        <v>0</v>
      </c>
      <c r="T65" s="99" t="n">
        <f aca="false">IF((Assumptions!$D$99*IF(Assumptions!T$206=2027,1+Assumptions!$F$193,1))&lt;3*Assumptions!T$223*12,Assumptions!$C$73+Assumptions!$C$74*(0.5*(3*Assumptions!T$223*12/(Assumptions!$D$99*IF(Assumptions!T$206=2027,1+Assumptions!$F$193,1))-1))^Assumptions!$C$75,0)</f>
        <v>0</v>
      </c>
      <c r="U65" s="99" t="n">
        <f aca="false">IF((Assumptions!$D$99*IF(Assumptions!U$206=2027,1+Assumptions!$F$193,1))&lt;3*Assumptions!U$223*12,Assumptions!$C$73+Assumptions!$C$74*(0.5*(3*Assumptions!U$223*12/(Assumptions!$D$99*IF(Assumptions!U$206=2027,1+Assumptions!$F$193,1))-1))^Assumptions!$C$75,0)</f>
        <v>0</v>
      </c>
      <c r="V65" s="99" t="n">
        <f aca="false">IF((Assumptions!$D$99*IF(Assumptions!V$206=2027,1+Assumptions!$F$193,1))&lt;3*Assumptions!V$223*12,Assumptions!$C$73+Assumptions!$C$74*(0.5*(3*Assumptions!V$223*12/(Assumptions!$D$99*IF(Assumptions!V$206=2027,1+Assumptions!$F$193,1))-1))^Assumptions!$C$75,0)</f>
        <v>0</v>
      </c>
      <c r="W65" s="99" t="n">
        <f aca="false">IF((Assumptions!$D$99*IF(Assumptions!W$206=2027,1+Assumptions!$F$193,1))&lt;3*Assumptions!W$223*12,Assumptions!$C$73+Assumptions!$C$74*(0.5*(3*Assumptions!W$223*12/(Assumptions!$D$99*IF(Assumptions!W$206=2027,1+Assumptions!$F$193,1))-1))^Assumptions!$C$75,0)</f>
        <v>0</v>
      </c>
      <c r="X65" s="99" t="n">
        <f aca="false">IF((Assumptions!$D$99*IF(Assumptions!X$206=2027,1+Assumptions!$F$193,1))&lt;3*Assumptions!X$223*12,Assumptions!$C$73+Assumptions!$C$74*(0.5*(3*Assumptions!X$223*12/(Assumptions!$D$99*IF(Assumptions!X$206=2027,1+Assumptions!$F$193,1))-1))^Assumptions!$C$75,0)</f>
        <v>0</v>
      </c>
      <c r="Y65" s="99" t="n">
        <f aca="false">IF((Assumptions!$D$99*IF(Assumptions!Y$206=2027,1+Assumptions!$F$193,1))&lt;3*Assumptions!Y$223*12,Assumptions!$C$73+Assumptions!$C$74*(0.5*(3*Assumptions!Y$223*12/(Assumptions!$D$99*IF(Assumptions!Y$206=2027,1+Assumptions!$F$193,1))-1))^Assumptions!$C$75,0)</f>
        <v>0</v>
      </c>
      <c r="Z65" s="99" t="n">
        <f aca="false">IF((Assumptions!$D$99*IF(Assumptions!Z$206=2027,1+Assumptions!$F$193,1))&lt;3*Assumptions!Z$223*12,Assumptions!$C$73+Assumptions!$C$74*(0.5*(3*Assumptions!Z$223*12/(Assumptions!$D$99*IF(Assumptions!Z$206=2027,1+Assumptions!$F$193,1))-1))^Assumptions!$C$75,0)</f>
        <v>0</v>
      </c>
      <c r="AA65" s="99" t="n">
        <f aca="false">IF((Assumptions!$D$99*IF(Assumptions!AA$206=2027,1+Assumptions!$F$193,1))&lt;3*Assumptions!AA$223*12,Assumptions!$C$73+Assumptions!$C$74*(0.5*(3*Assumptions!AA$223*12/(Assumptions!$D$99*IF(Assumptions!AA$206=2027,1+Assumptions!$F$193,1))-1))^Assumptions!$C$75,0)</f>
        <v>0</v>
      </c>
      <c r="AB65" s="99" t="n">
        <f aca="false">IF((Assumptions!$D$99*IF(Assumptions!AB$206=2027,1+Assumptions!$F$193,1))&lt;3*Assumptions!AB$223*12,Assumptions!$C$73+Assumptions!$C$74*(0.5*(3*Assumptions!AB$223*12/(Assumptions!$D$99*IF(Assumptions!AB$206=2027,1+Assumptions!$F$193,1))-1))^Assumptions!$C$75,0)</f>
        <v>0</v>
      </c>
    </row>
    <row r="66" customFormat="false" ht="15" hidden="false" customHeight="false" outlineLevel="0" collapsed="false">
      <c r="A66" s="28" t="s">
        <v>1150</v>
      </c>
      <c r="B66" s="62" t="s">
        <v>1138</v>
      </c>
      <c r="C66" s="117" t="n">
        <f aca="false">AVERAGE(E66:P66)</f>
        <v>0.0364376524401112</v>
      </c>
      <c r="D66" s="117" t="n">
        <f aca="false">AVERAGE(Q66:AB66)</f>
        <v>0.036200666926186</v>
      </c>
      <c r="E66" s="99" t="n">
        <f aca="false">IF((Assumptions!$D$100*IF(Assumptions!E$206=2027,1+Assumptions!$F$193,1))&lt;3*Assumptions!E$223*12,Assumptions!$C$73+Assumptions!$C$74*(0.5*(3*Assumptions!E$223*12/(Assumptions!$D$100*IF(Assumptions!E$206=2027,1+Assumptions!$F$193,1))-1))^Assumptions!$C$75,0)</f>
        <v>0.0348443269941263</v>
      </c>
      <c r="F66" s="99" t="n">
        <f aca="false">IF((Assumptions!$D$100*IF(Assumptions!F$206=2027,1+Assumptions!$F$193,1))&lt;3*Assumptions!F$223*12,Assumptions!$C$73+Assumptions!$C$74*(0.5*(3*Assumptions!F$223*12/(Assumptions!$D$100*IF(Assumptions!F$206=2027,1+Assumptions!$F$193,1))-1))^Assumptions!$C$75,0)</f>
        <v>0.0348443269941263</v>
      </c>
      <c r="G66" s="99" t="n">
        <f aca="false">IF((Assumptions!$D$100*IF(Assumptions!G$206=2027,1+Assumptions!$F$193,1))&lt;3*Assumptions!G$223*12,Assumptions!$C$73+Assumptions!$C$74*(0.5*(3*Assumptions!G$223*12/(Assumptions!$D$100*IF(Assumptions!G$206=2027,1+Assumptions!$F$193,1))-1))^Assumptions!$C$75,0)</f>
        <v>0.0348443269941263</v>
      </c>
      <c r="H66" s="99" t="n">
        <f aca="false">IF((Assumptions!$D$100*IF(Assumptions!H$206=2027,1+Assumptions!$F$193,1))&lt;3*Assumptions!H$223*12,Assumptions!$C$73+Assumptions!$C$74*(0.5*(3*Assumptions!H$223*12/(Assumptions!$D$100*IF(Assumptions!H$206=2027,1+Assumptions!$F$193,1))-1))^Assumptions!$C$75,0)</f>
        <v>0.0348443269941263</v>
      </c>
      <c r="I66" s="99" t="n">
        <f aca="false">IF((Assumptions!$D$100*IF(Assumptions!I$206=2027,1+Assumptions!$F$193,1))&lt;3*Assumptions!I$223*12,Assumptions!$C$73+Assumptions!$C$74*(0.5*(3*Assumptions!I$223*12/(Assumptions!$D$100*IF(Assumptions!I$206=2027,1+Assumptions!$F$193,1))-1))^Assumptions!$C$75,0)</f>
        <v>0.0348443269941263</v>
      </c>
      <c r="J66" s="99" t="n">
        <f aca="false">IF((Assumptions!$D$100*IF(Assumptions!J$206=2027,1+Assumptions!$F$193,1))&lt;3*Assumptions!J$223*12,Assumptions!$C$73+Assumptions!$C$74*(0.5*(3*Assumptions!J$223*12/(Assumptions!$D$100*IF(Assumptions!J$206=2027,1+Assumptions!$F$193,1))-1))^Assumptions!$C$75,0)</f>
        <v>0.037575742044386</v>
      </c>
      <c r="K66" s="99" t="n">
        <f aca="false">IF((Assumptions!$D$100*IF(Assumptions!K$206=2027,1+Assumptions!$F$193,1))&lt;3*Assumptions!K$223*12,Assumptions!$C$73+Assumptions!$C$74*(0.5*(3*Assumptions!K$223*12/(Assumptions!$D$100*IF(Assumptions!K$206=2027,1+Assumptions!$F$193,1))-1))^Assumptions!$C$75,0)</f>
        <v>0.037575742044386</v>
      </c>
      <c r="L66" s="99" t="n">
        <f aca="false">IF((Assumptions!$D$100*IF(Assumptions!L$206=2027,1+Assumptions!$F$193,1))&lt;3*Assumptions!L$223*12,Assumptions!$C$73+Assumptions!$C$74*(0.5*(3*Assumptions!L$223*12/(Assumptions!$D$100*IF(Assumptions!L$206=2027,1+Assumptions!$F$193,1))-1))^Assumptions!$C$75,0)</f>
        <v>0.037575742044386</v>
      </c>
      <c r="M66" s="99" t="n">
        <f aca="false">IF((Assumptions!$D$100*IF(Assumptions!M$206=2027,1+Assumptions!$F$193,1))&lt;3*Assumptions!M$223*12,Assumptions!$C$73+Assumptions!$C$74*(0.5*(3*Assumptions!M$223*12/(Assumptions!$D$100*IF(Assumptions!M$206=2027,1+Assumptions!$F$193,1))-1))^Assumptions!$C$75,0)</f>
        <v>0.037575742044386</v>
      </c>
      <c r="N66" s="99" t="n">
        <f aca="false">IF((Assumptions!$D$100*IF(Assumptions!N$206=2027,1+Assumptions!$F$193,1))&lt;3*Assumptions!N$223*12,Assumptions!$C$73+Assumptions!$C$74*(0.5*(3*Assumptions!N$223*12/(Assumptions!$D$100*IF(Assumptions!N$206=2027,1+Assumptions!$F$193,1))-1))^Assumptions!$C$75,0)</f>
        <v>0.037575742044386</v>
      </c>
      <c r="O66" s="99" t="n">
        <f aca="false">IF((Assumptions!$D$100*IF(Assumptions!O$206=2027,1+Assumptions!$F$193,1))&lt;3*Assumptions!O$223*12,Assumptions!$C$73+Assumptions!$C$74*(0.5*(3*Assumptions!O$223*12/(Assumptions!$D$100*IF(Assumptions!O$206=2027,1+Assumptions!$F$193,1))-1))^Assumptions!$C$75,0)</f>
        <v>0.037575742044386</v>
      </c>
      <c r="P66" s="99" t="n">
        <f aca="false">IF((Assumptions!$D$100*IF(Assumptions!P$206=2027,1+Assumptions!$F$193,1))&lt;3*Assumptions!P$223*12,Assumptions!$C$73+Assumptions!$C$74*(0.5*(3*Assumptions!P$223*12/(Assumptions!$D$100*IF(Assumptions!P$206=2027,1+Assumptions!$F$193,1))-1))^Assumptions!$C$75,0)</f>
        <v>0.037575742044386</v>
      </c>
      <c r="Q66" s="99" t="n">
        <f aca="false">IF((Assumptions!$D$100*IF(Assumptions!Q$206=2027,1+Assumptions!$F$193,1))&lt;3*Assumptions!Q$223*12,Assumptions!$C$73+Assumptions!$C$74*(0.5*(3*Assumptions!Q$223*12/(Assumptions!$D$100*IF(Assumptions!Q$206=2027,1+Assumptions!$F$193,1))-1))^Assumptions!$C$75,0)</f>
        <v>0.036200666926186</v>
      </c>
      <c r="R66" s="99" t="n">
        <f aca="false">IF((Assumptions!$D$100*IF(Assumptions!R$206=2027,1+Assumptions!$F$193,1))&lt;3*Assumptions!R$223*12,Assumptions!$C$73+Assumptions!$C$74*(0.5*(3*Assumptions!R$223*12/(Assumptions!$D$100*IF(Assumptions!R$206=2027,1+Assumptions!$F$193,1))-1))^Assumptions!$C$75,0)</f>
        <v>0.036200666926186</v>
      </c>
      <c r="S66" s="99" t="n">
        <f aca="false">IF((Assumptions!$D$100*IF(Assumptions!S$206=2027,1+Assumptions!$F$193,1))&lt;3*Assumptions!S$223*12,Assumptions!$C$73+Assumptions!$C$74*(0.5*(3*Assumptions!S$223*12/(Assumptions!$D$100*IF(Assumptions!S$206=2027,1+Assumptions!$F$193,1))-1))^Assumptions!$C$75,0)</f>
        <v>0.036200666926186</v>
      </c>
      <c r="T66" s="99" t="n">
        <f aca="false">IF((Assumptions!$D$100*IF(Assumptions!T$206=2027,1+Assumptions!$F$193,1))&lt;3*Assumptions!T$223*12,Assumptions!$C$73+Assumptions!$C$74*(0.5*(3*Assumptions!T$223*12/(Assumptions!$D$100*IF(Assumptions!T$206=2027,1+Assumptions!$F$193,1))-1))^Assumptions!$C$75,0)</f>
        <v>0.036200666926186</v>
      </c>
      <c r="U66" s="99" t="n">
        <f aca="false">IF((Assumptions!$D$100*IF(Assumptions!U$206=2027,1+Assumptions!$F$193,1))&lt;3*Assumptions!U$223*12,Assumptions!$C$73+Assumptions!$C$74*(0.5*(3*Assumptions!U$223*12/(Assumptions!$D$100*IF(Assumptions!U$206=2027,1+Assumptions!$F$193,1))-1))^Assumptions!$C$75,0)</f>
        <v>0.036200666926186</v>
      </c>
      <c r="V66" s="99" t="n">
        <f aca="false">IF((Assumptions!$D$100*IF(Assumptions!V$206=2027,1+Assumptions!$F$193,1))&lt;3*Assumptions!V$223*12,Assumptions!$C$73+Assumptions!$C$74*(0.5*(3*Assumptions!V$223*12/(Assumptions!$D$100*IF(Assumptions!V$206=2027,1+Assumptions!$F$193,1))-1))^Assumptions!$C$75,0)</f>
        <v>0.036200666926186</v>
      </c>
      <c r="W66" s="99" t="n">
        <f aca="false">IF((Assumptions!$D$100*IF(Assumptions!W$206=2027,1+Assumptions!$F$193,1))&lt;3*Assumptions!W$223*12,Assumptions!$C$73+Assumptions!$C$74*(0.5*(3*Assumptions!W$223*12/(Assumptions!$D$100*IF(Assumptions!W$206=2027,1+Assumptions!$F$193,1))-1))^Assumptions!$C$75,0)</f>
        <v>0.036200666926186</v>
      </c>
      <c r="X66" s="99" t="n">
        <f aca="false">IF((Assumptions!$D$100*IF(Assumptions!X$206=2027,1+Assumptions!$F$193,1))&lt;3*Assumptions!X$223*12,Assumptions!$C$73+Assumptions!$C$74*(0.5*(3*Assumptions!X$223*12/(Assumptions!$D$100*IF(Assumptions!X$206=2027,1+Assumptions!$F$193,1))-1))^Assumptions!$C$75,0)</f>
        <v>0.036200666926186</v>
      </c>
      <c r="Y66" s="99" t="n">
        <f aca="false">IF((Assumptions!$D$100*IF(Assumptions!Y$206=2027,1+Assumptions!$F$193,1))&lt;3*Assumptions!Y$223*12,Assumptions!$C$73+Assumptions!$C$74*(0.5*(3*Assumptions!Y$223*12/(Assumptions!$D$100*IF(Assumptions!Y$206=2027,1+Assumptions!$F$193,1))-1))^Assumptions!$C$75,0)</f>
        <v>0.036200666926186</v>
      </c>
      <c r="Z66" s="99" t="n">
        <f aca="false">IF((Assumptions!$D$100*IF(Assumptions!Z$206=2027,1+Assumptions!$F$193,1))&lt;3*Assumptions!Z$223*12,Assumptions!$C$73+Assumptions!$C$74*(0.5*(3*Assumptions!Z$223*12/(Assumptions!$D$100*IF(Assumptions!Z$206=2027,1+Assumptions!$F$193,1))-1))^Assumptions!$C$75,0)</f>
        <v>0.036200666926186</v>
      </c>
      <c r="AA66" s="99" t="n">
        <f aca="false">IF((Assumptions!$D$100*IF(Assumptions!AA$206=2027,1+Assumptions!$F$193,1))&lt;3*Assumptions!AA$223*12,Assumptions!$C$73+Assumptions!$C$74*(0.5*(3*Assumptions!AA$223*12/(Assumptions!$D$100*IF(Assumptions!AA$206=2027,1+Assumptions!$F$193,1))-1))^Assumptions!$C$75,0)</f>
        <v>0.036200666926186</v>
      </c>
      <c r="AB66" s="99" t="n">
        <f aca="false">IF((Assumptions!$D$100*IF(Assumptions!AB$206=2027,1+Assumptions!$F$193,1))&lt;3*Assumptions!AB$223*12,Assumptions!$C$73+Assumptions!$C$74*(0.5*(3*Assumptions!AB$223*12/(Assumptions!$D$100*IF(Assumptions!AB$206=2027,1+Assumptions!$F$193,1))-1))^Assumptions!$C$75,0)</f>
        <v>0.036200666926186</v>
      </c>
    </row>
    <row r="67" customFormat="false" ht="15" hidden="false" customHeight="false" outlineLevel="0" collapsed="false">
      <c r="A67" s="28" t="s">
        <v>1151</v>
      </c>
      <c r="B67" s="62" t="s">
        <v>1152</v>
      </c>
      <c r="C67" s="64" t="n">
        <f aca="false">SUM(E67:P67)</f>
        <v>0</v>
      </c>
      <c r="D67" s="64" t="n">
        <f aca="false">SUM(Q67:AB67)</f>
        <v>0</v>
      </c>
      <c r="E67" s="73" t="n">
        <f aca="false">E54*E41</f>
        <v>0</v>
      </c>
      <c r="F67" s="73" t="n">
        <f aca="false">F54*F41</f>
        <v>0</v>
      </c>
      <c r="G67" s="73" t="n">
        <f aca="false">G54*G41</f>
        <v>0</v>
      </c>
      <c r="H67" s="73" t="n">
        <f aca="false">H54*H41</f>
        <v>0</v>
      </c>
      <c r="I67" s="73" t="n">
        <f aca="false">I54*I41</f>
        <v>0</v>
      </c>
      <c r="J67" s="73" t="n">
        <f aca="false">J54*J41</f>
        <v>0</v>
      </c>
      <c r="K67" s="73" t="n">
        <f aca="false">K54*K41</f>
        <v>0</v>
      </c>
      <c r="L67" s="73" t="n">
        <f aca="false">L54*L41</f>
        <v>0</v>
      </c>
      <c r="M67" s="73" t="n">
        <f aca="false">M54*M41</f>
        <v>0</v>
      </c>
      <c r="N67" s="73" t="n">
        <f aca="false">N54*N41</f>
        <v>0</v>
      </c>
      <c r="O67" s="73" t="n">
        <f aca="false">O54*O41</f>
        <v>0</v>
      </c>
      <c r="P67" s="73" t="n">
        <f aca="false">P54*P41</f>
        <v>0</v>
      </c>
      <c r="Q67" s="73" t="n">
        <f aca="false">Q54*Q41</f>
        <v>0</v>
      </c>
      <c r="R67" s="73" t="n">
        <f aca="false">R54*R41</f>
        <v>0</v>
      </c>
      <c r="S67" s="73" t="n">
        <f aca="false">S54*S41</f>
        <v>0</v>
      </c>
      <c r="T67" s="73" t="n">
        <f aca="false">T54*T41</f>
        <v>0</v>
      </c>
      <c r="U67" s="73" t="n">
        <f aca="false">U54*U41</f>
        <v>0</v>
      </c>
      <c r="V67" s="73" t="n">
        <f aca="false">V54*V41</f>
        <v>0</v>
      </c>
      <c r="W67" s="73" t="n">
        <f aca="false">W54*W41</f>
        <v>0</v>
      </c>
      <c r="X67" s="73" t="n">
        <f aca="false">X54*X41</f>
        <v>0</v>
      </c>
      <c r="Y67" s="73" t="n">
        <f aca="false">Y54*Y41</f>
        <v>0</v>
      </c>
      <c r="Z67" s="73" t="n">
        <f aca="false">Z54*Z41</f>
        <v>0</v>
      </c>
      <c r="AA67" s="73" t="n">
        <f aca="false">AA54*AA41</f>
        <v>0</v>
      </c>
      <c r="AB67" s="73" t="n">
        <f aca="false">AB54*AB41</f>
        <v>0</v>
      </c>
    </row>
    <row r="68" customFormat="false" ht="15" hidden="false" customHeight="false" outlineLevel="0" collapsed="false">
      <c r="A68" s="28" t="s">
        <v>1153</v>
      </c>
      <c r="B68" s="62" t="s">
        <v>1152</v>
      </c>
      <c r="C68" s="64" t="n">
        <f aca="false">SUM(E68:P68)</f>
        <v>0</v>
      </c>
      <c r="D68" s="64" t="n">
        <f aca="false">SUM(Q68:AB68)</f>
        <v>0</v>
      </c>
      <c r="E68" s="73" t="n">
        <f aca="false">E55*E42</f>
        <v>0</v>
      </c>
      <c r="F68" s="73" t="n">
        <f aca="false">F55*F42</f>
        <v>0</v>
      </c>
      <c r="G68" s="73" t="n">
        <f aca="false">G55*G42</f>
        <v>0</v>
      </c>
      <c r="H68" s="73" t="n">
        <f aca="false">H55*H42</f>
        <v>0</v>
      </c>
      <c r="I68" s="73" t="n">
        <f aca="false">I55*I42</f>
        <v>0</v>
      </c>
      <c r="J68" s="73" t="n">
        <f aca="false">J55*J42</f>
        <v>0</v>
      </c>
      <c r="K68" s="73" t="n">
        <f aca="false">K55*K42</f>
        <v>0</v>
      </c>
      <c r="L68" s="73" t="n">
        <f aca="false">L55*L42</f>
        <v>0</v>
      </c>
      <c r="M68" s="73" t="n">
        <f aca="false">M55*M42</f>
        <v>0</v>
      </c>
      <c r="N68" s="73" t="n">
        <f aca="false">N55*N42</f>
        <v>0</v>
      </c>
      <c r="O68" s="73" t="n">
        <f aca="false">O55*O42</f>
        <v>0</v>
      </c>
      <c r="P68" s="73" t="n">
        <f aca="false">P55*P42</f>
        <v>0</v>
      </c>
      <c r="Q68" s="73" t="n">
        <f aca="false">Q55*Q42</f>
        <v>0</v>
      </c>
      <c r="R68" s="73" t="n">
        <f aca="false">R55*R42</f>
        <v>0</v>
      </c>
      <c r="S68" s="73" t="n">
        <f aca="false">S55*S42</f>
        <v>0</v>
      </c>
      <c r="T68" s="73" t="n">
        <f aca="false">T55*T42</f>
        <v>0</v>
      </c>
      <c r="U68" s="73" t="n">
        <f aca="false">U55*U42</f>
        <v>0</v>
      </c>
      <c r="V68" s="73" t="n">
        <f aca="false">V55*V42</f>
        <v>0</v>
      </c>
      <c r="W68" s="73" t="n">
        <f aca="false">W55*W42</f>
        <v>0</v>
      </c>
      <c r="X68" s="73" t="n">
        <f aca="false">X55*X42</f>
        <v>0</v>
      </c>
      <c r="Y68" s="73" t="n">
        <f aca="false">Y55*Y42</f>
        <v>0</v>
      </c>
      <c r="Z68" s="73" t="n">
        <f aca="false">Z55*Z42</f>
        <v>0</v>
      </c>
      <c r="AA68" s="73" t="n">
        <f aca="false">AA55*AA42</f>
        <v>0</v>
      </c>
      <c r="AB68" s="73" t="n">
        <f aca="false">AB55*AB42</f>
        <v>0</v>
      </c>
    </row>
    <row r="69" customFormat="false" ht="15" hidden="false" customHeight="false" outlineLevel="0" collapsed="false">
      <c r="A69" s="28" t="s">
        <v>1154</v>
      </c>
      <c r="B69" s="62" t="s">
        <v>1152</v>
      </c>
      <c r="C69" s="64" t="n">
        <f aca="false">SUM(E69:P69)</f>
        <v>0</v>
      </c>
      <c r="D69" s="64" t="n">
        <f aca="false">SUM(Q69:AB69)</f>
        <v>0</v>
      </c>
      <c r="E69" s="73" t="n">
        <f aca="false">E56*E43</f>
        <v>0</v>
      </c>
      <c r="F69" s="73" t="n">
        <f aca="false">F56*F43</f>
        <v>0</v>
      </c>
      <c r="G69" s="73" t="n">
        <f aca="false">G56*G43</f>
        <v>0</v>
      </c>
      <c r="H69" s="73" t="n">
        <f aca="false">H56*H43</f>
        <v>0</v>
      </c>
      <c r="I69" s="73" t="n">
        <f aca="false">I56*I43</f>
        <v>0</v>
      </c>
      <c r="J69" s="73" t="n">
        <f aca="false">J56*J43</f>
        <v>0</v>
      </c>
      <c r="K69" s="73" t="n">
        <f aca="false">K56*K43</f>
        <v>0</v>
      </c>
      <c r="L69" s="73" t="n">
        <f aca="false">L56*L43</f>
        <v>0</v>
      </c>
      <c r="M69" s="73" t="n">
        <f aca="false">M56*M43</f>
        <v>0</v>
      </c>
      <c r="N69" s="73" t="n">
        <f aca="false">N56*N43</f>
        <v>0</v>
      </c>
      <c r="O69" s="73" t="n">
        <f aca="false">O56*O43</f>
        <v>0</v>
      </c>
      <c r="P69" s="73" t="n">
        <f aca="false">P56*P43</f>
        <v>0</v>
      </c>
      <c r="Q69" s="73" t="n">
        <f aca="false">Q56*Q43</f>
        <v>0</v>
      </c>
      <c r="R69" s="73" t="n">
        <f aca="false">R56*R43</f>
        <v>0</v>
      </c>
      <c r="S69" s="73" t="n">
        <f aca="false">S56*S43</f>
        <v>0</v>
      </c>
      <c r="T69" s="73" t="n">
        <f aca="false">T56*T43</f>
        <v>0</v>
      </c>
      <c r="U69" s="73" t="n">
        <f aca="false">U56*U43</f>
        <v>0</v>
      </c>
      <c r="V69" s="73" t="n">
        <f aca="false">V56*V43</f>
        <v>0</v>
      </c>
      <c r="W69" s="73" t="n">
        <f aca="false">W56*W43</f>
        <v>0</v>
      </c>
      <c r="X69" s="73" t="n">
        <f aca="false">X56*X43</f>
        <v>0</v>
      </c>
      <c r="Y69" s="73" t="n">
        <f aca="false">Y56*Y43</f>
        <v>0</v>
      </c>
      <c r="Z69" s="73" t="n">
        <f aca="false">Z56*Z43</f>
        <v>0</v>
      </c>
      <c r="AA69" s="73" t="n">
        <f aca="false">AA56*AA43</f>
        <v>0</v>
      </c>
      <c r="AB69" s="73" t="n">
        <f aca="false">AB56*AB43</f>
        <v>0</v>
      </c>
    </row>
    <row r="70" customFormat="false" ht="15" hidden="false" customHeight="false" outlineLevel="0" collapsed="false">
      <c r="A70" s="28" t="s">
        <v>1155</v>
      </c>
      <c r="B70" s="62" t="s">
        <v>1152</v>
      </c>
      <c r="C70" s="64" t="n">
        <f aca="false">SUM(E70:P70)</f>
        <v>0</v>
      </c>
      <c r="D70" s="64" t="n">
        <f aca="false">SUM(Q70:AB70)</f>
        <v>0</v>
      </c>
      <c r="E70" s="73" t="n">
        <f aca="false">E57*E44</f>
        <v>0</v>
      </c>
      <c r="F70" s="73" t="n">
        <f aca="false">F57*F44</f>
        <v>0</v>
      </c>
      <c r="G70" s="73" t="n">
        <f aca="false">G57*G44</f>
        <v>0</v>
      </c>
      <c r="H70" s="73" t="n">
        <f aca="false">H57*H44</f>
        <v>0</v>
      </c>
      <c r="I70" s="73" t="n">
        <f aca="false">I57*I44</f>
        <v>0</v>
      </c>
      <c r="J70" s="73" t="n">
        <f aca="false">J57*J44</f>
        <v>0</v>
      </c>
      <c r="K70" s="73" t="n">
        <f aca="false">K57*K44</f>
        <v>0</v>
      </c>
      <c r="L70" s="73" t="n">
        <f aca="false">L57*L44</f>
        <v>0</v>
      </c>
      <c r="M70" s="73" t="n">
        <f aca="false">M57*M44</f>
        <v>0</v>
      </c>
      <c r="N70" s="73" t="n">
        <f aca="false">N57*N44</f>
        <v>0</v>
      </c>
      <c r="O70" s="73" t="n">
        <f aca="false">O57*O44</f>
        <v>0</v>
      </c>
      <c r="P70" s="73" t="n">
        <f aca="false">P57*P44</f>
        <v>0</v>
      </c>
      <c r="Q70" s="73" t="n">
        <f aca="false">Q57*Q44</f>
        <v>0</v>
      </c>
      <c r="R70" s="73" t="n">
        <f aca="false">R57*R44</f>
        <v>0</v>
      </c>
      <c r="S70" s="73" t="n">
        <f aca="false">S57*S44</f>
        <v>0</v>
      </c>
      <c r="T70" s="73" t="n">
        <f aca="false">T57*T44</f>
        <v>0</v>
      </c>
      <c r="U70" s="73" t="n">
        <f aca="false">U57*U44</f>
        <v>0</v>
      </c>
      <c r="V70" s="73" t="n">
        <f aca="false">V57*V44</f>
        <v>0</v>
      </c>
      <c r="W70" s="73" t="n">
        <f aca="false">W57*W44</f>
        <v>0</v>
      </c>
      <c r="X70" s="73" t="n">
        <f aca="false">X57*X44</f>
        <v>0</v>
      </c>
      <c r="Y70" s="73" t="n">
        <f aca="false">Y57*Y44</f>
        <v>0</v>
      </c>
      <c r="Z70" s="73" t="n">
        <f aca="false">Z57*Z44</f>
        <v>0</v>
      </c>
      <c r="AA70" s="73" t="n">
        <f aca="false">AA57*AA44</f>
        <v>0</v>
      </c>
      <c r="AB70" s="73" t="n">
        <f aca="false">AB57*AB44</f>
        <v>0</v>
      </c>
    </row>
    <row r="71" customFormat="false" ht="15" hidden="false" customHeight="false" outlineLevel="0" collapsed="false">
      <c r="A71" s="28" t="s">
        <v>1156</v>
      </c>
      <c r="B71" s="62" t="s">
        <v>1152</v>
      </c>
      <c r="C71" s="64" t="n">
        <f aca="false">SUM(E71:P71)</f>
        <v>0</v>
      </c>
      <c r="D71" s="64" t="n">
        <f aca="false">SUM(Q71:AB71)</f>
        <v>0</v>
      </c>
      <c r="E71" s="73" t="n">
        <f aca="false">E58*E45</f>
        <v>0</v>
      </c>
      <c r="F71" s="73" t="n">
        <f aca="false">F58*F45</f>
        <v>0</v>
      </c>
      <c r="G71" s="73" t="n">
        <f aca="false">G58*G45</f>
        <v>0</v>
      </c>
      <c r="H71" s="73" t="n">
        <f aca="false">H58*H45</f>
        <v>0</v>
      </c>
      <c r="I71" s="73" t="n">
        <f aca="false">I58*I45</f>
        <v>0</v>
      </c>
      <c r="J71" s="73" t="n">
        <f aca="false">J58*J45</f>
        <v>0</v>
      </c>
      <c r="K71" s="73" t="n">
        <f aca="false">K58*K45</f>
        <v>0</v>
      </c>
      <c r="L71" s="73" t="n">
        <f aca="false">L58*L45</f>
        <v>0</v>
      </c>
      <c r="M71" s="73" t="n">
        <f aca="false">M58*M45</f>
        <v>0</v>
      </c>
      <c r="N71" s="73" t="n">
        <f aca="false">N58*N45</f>
        <v>0</v>
      </c>
      <c r="O71" s="73" t="n">
        <f aca="false">O58*O45</f>
        <v>0</v>
      </c>
      <c r="P71" s="73" t="n">
        <f aca="false">P58*P45</f>
        <v>0</v>
      </c>
      <c r="Q71" s="73" t="n">
        <f aca="false">Q58*Q45</f>
        <v>0</v>
      </c>
      <c r="R71" s="73" t="n">
        <f aca="false">R58*R45</f>
        <v>0</v>
      </c>
      <c r="S71" s="73" t="n">
        <f aca="false">S58*S45</f>
        <v>0</v>
      </c>
      <c r="T71" s="73" t="n">
        <f aca="false">T58*T45</f>
        <v>0</v>
      </c>
      <c r="U71" s="73" t="n">
        <f aca="false">U58*U45</f>
        <v>0</v>
      </c>
      <c r="V71" s="73" t="n">
        <f aca="false">V58*V45</f>
        <v>0</v>
      </c>
      <c r="W71" s="73" t="n">
        <f aca="false">W58*W45</f>
        <v>0</v>
      </c>
      <c r="X71" s="73" t="n">
        <f aca="false">X58*X45</f>
        <v>0</v>
      </c>
      <c r="Y71" s="73" t="n">
        <f aca="false">Y58*Y45</f>
        <v>0</v>
      </c>
      <c r="Z71" s="73" t="n">
        <f aca="false">Z58*Z45</f>
        <v>0</v>
      </c>
      <c r="AA71" s="73" t="n">
        <f aca="false">AA58*AA45</f>
        <v>0</v>
      </c>
      <c r="AB71" s="73" t="n">
        <f aca="false">AB58*AB45</f>
        <v>0</v>
      </c>
    </row>
    <row r="72" customFormat="false" ht="15" hidden="false" customHeight="false" outlineLevel="0" collapsed="false">
      <c r="A72" s="28" t="s">
        <v>1157</v>
      </c>
      <c r="B72" s="62" t="s">
        <v>1152</v>
      </c>
      <c r="C72" s="64" t="n">
        <f aca="false">SUM(E72:P72)</f>
        <v>11812.899506524</v>
      </c>
      <c r="D72" s="64" t="n">
        <f aca="false">SUM(Q72:AB72)</f>
        <v>14660.0711921747</v>
      </c>
      <c r="E72" s="73" t="n">
        <f aca="false">E59*E46</f>
        <v>803.568827984911</v>
      </c>
      <c r="F72" s="73" t="n">
        <f aca="false">F59*F46</f>
        <v>803.568827984911</v>
      </c>
      <c r="G72" s="73" t="n">
        <f aca="false">G59*G46</f>
        <v>937.496965982396</v>
      </c>
      <c r="H72" s="73" t="n">
        <f aca="false">H59*H46</f>
        <v>937.496965982396</v>
      </c>
      <c r="I72" s="73" t="n">
        <f aca="false">I59*I46</f>
        <v>937.496965982396</v>
      </c>
      <c r="J72" s="73" t="n">
        <f aca="false">J59*J46</f>
        <v>1007.67265424217</v>
      </c>
      <c r="K72" s="73" t="n">
        <f aca="false">K59*K46</f>
        <v>1007.67265424217</v>
      </c>
      <c r="L72" s="73" t="n">
        <f aca="false">L59*L46</f>
        <v>1007.67265424217</v>
      </c>
      <c r="M72" s="73" t="n">
        <f aca="false">M59*M46</f>
        <v>995.076746064144</v>
      </c>
      <c r="N72" s="73" t="n">
        <f aca="false">N59*N46</f>
        <v>1126.59152305865</v>
      </c>
      <c r="O72" s="73" t="n">
        <f aca="false">O59*O46</f>
        <v>1125.10503719845</v>
      </c>
      <c r="P72" s="73" t="n">
        <f aca="false">P59*P46</f>
        <v>1123.47968355927</v>
      </c>
      <c r="Q72" s="73" t="n">
        <f aca="false">Q59*Q46</f>
        <v>1116.55134148714</v>
      </c>
      <c r="R72" s="73" t="n">
        <f aca="false">R59*R46</f>
        <v>1116.57104920725</v>
      </c>
      <c r="S72" s="73" t="n">
        <f aca="false">S59*S46</f>
        <v>1116.57031965103</v>
      </c>
      <c r="T72" s="73" t="n">
        <f aca="false">T59*T46</f>
        <v>1259.63062611582</v>
      </c>
      <c r="U72" s="73" t="n">
        <f aca="false">U59*U46</f>
        <v>1257.84238140447</v>
      </c>
      <c r="V72" s="73" t="n">
        <f aca="false">V59*V46</f>
        <v>1256.07648063255</v>
      </c>
      <c r="W72" s="73" t="n">
        <f aca="false">W59*W46</f>
        <v>1256.12090745109</v>
      </c>
      <c r="X72" s="73" t="n">
        <f aca="false">X59*X46</f>
        <v>1256.14242587551</v>
      </c>
      <c r="Y72" s="73" t="n">
        <f aca="false">Y59*Y46</f>
        <v>1256.14160155997</v>
      </c>
      <c r="Z72" s="73" t="n">
        <f aca="false">Z59*Z46</f>
        <v>1256.14134288361</v>
      </c>
      <c r="AA72" s="73" t="n">
        <f aca="false">AA59*AA46</f>
        <v>1256.14135642101</v>
      </c>
      <c r="AB72" s="73" t="n">
        <f aca="false">AB59*AB46</f>
        <v>1256.14135948524</v>
      </c>
    </row>
    <row r="73" customFormat="false" ht="15" hidden="false" customHeight="false" outlineLevel="0" collapsed="false">
      <c r="A73" s="28" t="s">
        <v>1158</v>
      </c>
      <c r="B73" s="62" t="s">
        <v>1152</v>
      </c>
      <c r="C73" s="64" t="n">
        <f aca="false">SUM(E73:P73)</f>
        <v>6795.87979047474</v>
      </c>
      <c r="D73" s="64" t="n">
        <f aca="false">SUM(Q73:AB73)</f>
        <v>8782.49870051884</v>
      </c>
      <c r="E73" s="73" t="n">
        <f aca="false">E60*E47</f>
        <v>470.694475799055</v>
      </c>
      <c r="F73" s="73" t="n">
        <f aca="false">F60*F47</f>
        <v>470.694475799055</v>
      </c>
      <c r="G73" s="73" t="n">
        <f aca="false">G60*G47</f>
        <v>470.694475799055</v>
      </c>
      <c r="H73" s="73" t="n">
        <f aca="false">H60*H47</f>
        <v>470.694475799055</v>
      </c>
      <c r="I73" s="73" t="n">
        <f aca="false">I60*I47</f>
        <v>588.368094748819</v>
      </c>
      <c r="J73" s="73" t="n">
        <f aca="false">J60*J47</f>
        <v>625.527374568621</v>
      </c>
      <c r="K73" s="73" t="n">
        <f aca="false">K60*K47</f>
        <v>625.527374568621</v>
      </c>
      <c r="L73" s="73" t="n">
        <f aca="false">L60*L47</f>
        <v>625.527374568621</v>
      </c>
      <c r="M73" s="73" t="n">
        <f aca="false">M60*M47</f>
        <v>617.708282386513</v>
      </c>
      <c r="N73" s="73" t="n">
        <f aca="false">N60*N47</f>
        <v>609.986928856682</v>
      </c>
      <c r="O73" s="73" t="n">
        <f aca="false">O60*O47</f>
        <v>610.181184428081</v>
      </c>
      <c r="P73" s="73" t="n">
        <f aca="false">P60*P47</f>
        <v>610.275273152562</v>
      </c>
      <c r="Q73" s="73" t="n">
        <f aca="false">Q60*Q47</f>
        <v>734.552099622823</v>
      </c>
      <c r="R73" s="73" t="n">
        <f aca="false">R60*R47</f>
        <v>732.988905900162</v>
      </c>
      <c r="S73" s="73" t="n">
        <f aca="false">S60*S47</f>
        <v>731.446426888574</v>
      </c>
      <c r="T73" s="73" t="n">
        <f aca="false">T60*T47</f>
        <v>731.485247797752</v>
      </c>
      <c r="U73" s="73" t="n">
        <f aca="false">U60*U47</f>
        <v>731.504043524032</v>
      </c>
      <c r="V73" s="73" t="n">
        <f aca="false">V60*V47</f>
        <v>731.503323316089</v>
      </c>
      <c r="W73" s="73" t="n">
        <f aca="false">W60*W47</f>
        <v>731.50309737211</v>
      </c>
      <c r="X73" s="73" t="n">
        <f aca="false">X60*X47</f>
        <v>731.503109199009</v>
      </c>
      <c r="Y73" s="73" t="n">
        <f aca="false">Y60*Y47</f>
        <v>731.503111875472</v>
      </c>
      <c r="Z73" s="73" t="n">
        <f aca="false">Z60*Z47</f>
        <v>731.503111694181</v>
      </c>
      <c r="AA73" s="73" t="n">
        <f aca="false">AA60*AA47</f>
        <v>731.503111662991</v>
      </c>
      <c r="AB73" s="73" t="n">
        <f aca="false">AB60*AB47</f>
        <v>731.503111665647</v>
      </c>
    </row>
    <row r="74" customFormat="false" ht="15" hidden="false" customHeight="false" outlineLevel="0" collapsed="false">
      <c r="A74" s="28" t="s">
        <v>1159</v>
      </c>
      <c r="B74" s="62" t="s">
        <v>1152</v>
      </c>
      <c r="C74" s="64" t="n">
        <f aca="false">SUM(E74:P74)</f>
        <v>0</v>
      </c>
      <c r="D74" s="64" t="n">
        <f aca="false">SUM(Q74:AB74)</f>
        <v>0</v>
      </c>
      <c r="E74" s="73" t="n">
        <f aca="false">E61*E48</f>
        <v>0</v>
      </c>
      <c r="F74" s="73" t="n">
        <f aca="false">F61*F48</f>
        <v>0</v>
      </c>
      <c r="G74" s="73" t="n">
        <f aca="false">G61*G48</f>
        <v>0</v>
      </c>
      <c r="H74" s="73" t="n">
        <f aca="false">H61*H48</f>
        <v>0</v>
      </c>
      <c r="I74" s="73" t="n">
        <f aca="false">I61*I48</f>
        <v>0</v>
      </c>
      <c r="J74" s="73" t="n">
        <f aca="false">J61*J48</f>
        <v>0</v>
      </c>
      <c r="K74" s="73" t="n">
        <f aca="false">K61*K48</f>
        <v>0</v>
      </c>
      <c r="L74" s="73" t="n">
        <f aca="false">L61*L48</f>
        <v>0</v>
      </c>
      <c r="M74" s="73" t="n">
        <f aca="false">M61*M48</f>
        <v>0</v>
      </c>
      <c r="N74" s="73" t="n">
        <f aca="false">N61*N48</f>
        <v>0</v>
      </c>
      <c r="O74" s="73" t="n">
        <f aca="false">O61*O48</f>
        <v>0</v>
      </c>
      <c r="P74" s="73" t="n">
        <f aca="false">P61*P48</f>
        <v>0</v>
      </c>
      <c r="Q74" s="73" t="n">
        <f aca="false">Q61*Q48</f>
        <v>0</v>
      </c>
      <c r="R74" s="73" t="n">
        <f aca="false">R61*R48</f>
        <v>0</v>
      </c>
      <c r="S74" s="73" t="n">
        <f aca="false">S61*S48</f>
        <v>0</v>
      </c>
      <c r="T74" s="73" t="n">
        <f aca="false">T61*T48</f>
        <v>0</v>
      </c>
      <c r="U74" s="73" t="n">
        <f aca="false">U61*U48</f>
        <v>0</v>
      </c>
      <c r="V74" s="73" t="n">
        <f aca="false">V61*V48</f>
        <v>0</v>
      </c>
      <c r="W74" s="73" t="n">
        <f aca="false">W61*W48</f>
        <v>0</v>
      </c>
      <c r="X74" s="73" t="n">
        <f aca="false">X61*X48</f>
        <v>0</v>
      </c>
      <c r="Y74" s="73" t="n">
        <f aca="false">Y61*Y48</f>
        <v>0</v>
      </c>
      <c r="Z74" s="73" t="n">
        <f aca="false">Z61*Z48</f>
        <v>0</v>
      </c>
      <c r="AA74" s="73" t="n">
        <f aca="false">AA61*AA48</f>
        <v>0</v>
      </c>
      <c r="AB74" s="73" t="n">
        <f aca="false">AB61*AB48</f>
        <v>0</v>
      </c>
    </row>
    <row r="75" customFormat="false" ht="15" hidden="false" customHeight="false" outlineLevel="0" collapsed="false">
      <c r="A75" s="28" t="s">
        <v>1160</v>
      </c>
      <c r="B75" s="62" t="s">
        <v>1152</v>
      </c>
      <c r="C75" s="64" t="n">
        <f aca="false">SUM(E75:P75)</f>
        <v>0</v>
      </c>
      <c r="D75" s="64" t="n">
        <f aca="false">SUM(Q75:AB75)</f>
        <v>0</v>
      </c>
      <c r="E75" s="73" t="n">
        <f aca="false">E62*E49</f>
        <v>0</v>
      </c>
      <c r="F75" s="73" t="n">
        <f aca="false">F62*F49</f>
        <v>0</v>
      </c>
      <c r="G75" s="73" t="n">
        <f aca="false">G62*G49</f>
        <v>0</v>
      </c>
      <c r="H75" s="73" t="n">
        <f aca="false">H62*H49</f>
        <v>0</v>
      </c>
      <c r="I75" s="73" t="n">
        <f aca="false">I62*I49</f>
        <v>0</v>
      </c>
      <c r="J75" s="73" t="n">
        <f aca="false">J62*J49</f>
        <v>0</v>
      </c>
      <c r="K75" s="73" t="n">
        <f aca="false">K62*K49</f>
        <v>0</v>
      </c>
      <c r="L75" s="73" t="n">
        <f aca="false">L62*L49</f>
        <v>0</v>
      </c>
      <c r="M75" s="73" t="n">
        <f aca="false">M62*M49</f>
        <v>0</v>
      </c>
      <c r="N75" s="73" t="n">
        <f aca="false">N62*N49</f>
        <v>0</v>
      </c>
      <c r="O75" s="73" t="n">
        <f aca="false">O62*O49</f>
        <v>0</v>
      </c>
      <c r="P75" s="73" t="n">
        <f aca="false">P62*P49</f>
        <v>0</v>
      </c>
      <c r="Q75" s="73" t="n">
        <f aca="false">Q62*Q49</f>
        <v>0</v>
      </c>
      <c r="R75" s="73" t="n">
        <f aca="false">R62*R49</f>
        <v>0</v>
      </c>
      <c r="S75" s="73" t="n">
        <f aca="false">S62*S49</f>
        <v>0</v>
      </c>
      <c r="T75" s="73" t="n">
        <f aca="false">T62*T49</f>
        <v>0</v>
      </c>
      <c r="U75" s="73" t="n">
        <f aca="false">U62*U49</f>
        <v>0</v>
      </c>
      <c r="V75" s="73" t="n">
        <f aca="false">V62*V49</f>
        <v>0</v>
      </c>
      <c r="W75" s="73" t="n">
        <f aca="false">W62*W49</f>
        <v>0</v>
      </c>
      <c r="X75" s="73" t="n">
        <f aca="false">X62*X49</f>
        <v>0</v>
      </c>
      <c r="Y75" s="73" t="n">
        <f aca="false">Y62*Y49</f>
        <v>0</v>
      </c>
      <c r="Z75" s="73" t="n">
        <f aca="false">Z62*Z49</f>
        <v>0</v>
      </c>
      <c r="AA75" s="73" t="n">
        <f aca="false">AA62*AA49</f>
        <v>0</v>
      </c>
      <c r="AB75" s="73" t="n">
        <f aca="false">AB62*AB49</f>
        <v>0</v>
      </c>
    </row>
    <row r="76" customFormat="false" ht="15" hidden="false" customHeight="false" outlineLevel="0" collapsed="false">
      <c r="A76" s="28" t="s">
        <v>1161</v>
      </c>
      <c r="B76" s="62" t="s">
        <v>1152</v>
      </c>
      <c r="C76" s="64" t="n">
        <f aca="false">SUM(E76:P76)</f>
        <v>10431.3210030576</v>
      </c>
      <c r="D76" s="64" t="n">
        <f aca="false">SUM(Q76:AB76)</f>
        <v>11227.1115458526</v>
      </c>
      <c r="E76" s="73" t="n">
        <f aca="false">E63*E50</f>
        <v>961.676703354926</v>
      </c>
      <c r="F76" s="73" t="n">
        <f aca="false">F63*F50</f>
        <v>961.676703354926</v>
      </c>
      <c r="G76" s="73" t="n">
        <f aca="false">G63*G50</f>
        <v>961.676703354926</v>
      </c>
      <c r="H76" s="73" t="n">
        <f aca="false">H63*H50</f>
        <v>961.676703354926</v>
      </c>
      <c r="I76" s="73" t="n">
        <f aca="false">I63*I50</f>
        <v>961.676703354926</v>
      </c>
      <c r="J76" s="73" t="n">
        <f aca="false">J63*J50</f>
        <v>1038.56342129522</v>
      </c>
      <c r="K76" s="73" t="n">
        <f aca="false">K63*K50</f>
        <v>778.922565971413</v>
      </c>
      <c r="L76" s="73" t="n">
        <f aca="false">L63*L50</f>
        <v>778.922565971413</v>
      </c>
      <c r="M76" s="73" t="n">
        <f aca="false">M63*M50</f>
        <v>765.940523205223</v>
      </c>
      <c r="N76" s="73" t="n">
        <f aca="false">N63*N50</f>
        <v>753.174847818469</v>
      </c>
      <c r="O76" s="73" t="n">
        <f aca="false">O63*O50</f>
        <v>753.603976454352</v>
      </c>
      <c r="P76" s="73" t="n">
        <f aca="false">P63*P50</f>
        <v>753.809585566866</v>
      </c>
      <c r="Q76" s="73" t="n">
        <f aca="false">Q63*Q50</f>
        <v>747.67293177322</v>
      </c>
      <c r="R76" s="73" t="n">
        <f aca="false">R63*R50</f>
        <v>747.669707687338</v>
      </c>
      <c r="S76" s="73" t="n">
        <f aca="false">S63*S50</f>
        <v>747.669936305235</v>
      </c>
      <c r="T76" s="73" t="n">
        <f aca="false">T63*T50</f>
        <v>1005.20075743956</v>
      </c>
      <c r="U76" s="73" t="n">
        <f aca="false">U63*U50</f>
        <v>1000.90857327702</v>
      </c>
      <c r="V76" s="73" t="n">
        <f aca="false">V63*V50</f>
        <v>996.687929327494</v>
      </c>
      <c r="W76" s="73" t="n">
        <f aca="false">W63*W50</f>
        <v>996.829809796029</v>
      </c>
      <c r="X76" s="73" t="n">
        <f aca="false">X63*X50</f>
        <v>996.897789187379</v>
      </c>
      <c r="Y76" s="73" t="n">
        <f aca="false">Y63*Y50</f>
        <v>996.894291523047</v>
      </c>
      <c r="Z76" s="73" t="n">
        <f aca="false">Z63*Z50</f>
        <v>996.893216827597</v>
      </c>
      <c r="AA76" s="73" t="n">
        <f aca="false">AA63*AA50</f>
        <v>996.893293033593</v>
      </c>
      <c r="AB76" s="73" t="n">
        <f aca="false">AB63*AB50</f>
        <v>996.893309675084</v>
      </c>
    </row>
    <row r="77" customFormat="false" ht="15" hidden="false" customHeight="false" outlineLevel="0" collapsed="false">
      <c r="A77" s="28" t="s">
        <v>1162</v>
      </c>
      <c r="B77" s="62" t="s">
        <v>1152</v>
      </c>
      <c r="C77" s="64" t="n">
        <f aca="false">SUM(E77:P77)</f>
        <v>6557.16246627738</v>
      </c>
      <c r="D77" s="64" t="n">
        <f aca="false">SUM(Q77:AB77)</f>
        <v>8176.16624346224</v>
      </c>
      <c r="E77" s="73" t="n">
        <f aca="false">E64*E51</f>
        <v>449.763649279131</v>
      </c>
      <c r="F77" s="73" t="n">
        <f aca="false">F64*F51</f>
        <v>449.763649279131</v>
      </c>
      <c r="G77" s="73" t="n">
        <f aca="false">G64*G51</f>
        <v>449.763649279131</v>
      </c>
      <c r="H77" s="73" t="n">
        <f aca="false">H64*H51</f>
        <v>562.204561598914</v>
      </c>
      <c r="I77" s="73" t="n">
        <f aca="false">I64*I51</f>
        <v>562.204561598914</v>
      </c>
      <c r="J77" s="73" t="n">
        <f aca="false">J64*J51</f>
        <v>593.049615900319</v>
      </c>
      <c r="K77" s="73" t="n">
        <f aca="false">K64*K51</f>
        <v>593.049615900319</v>
      </c>
      <c r="L77" s="73" t="n">
        <f aca="false">L64*L51</f>
        <v>593.049615900319</v>
      </c>
      <c r="M77" s="73" t="n">
        <f aca="false">M64*M51</f>
        <v>583.165455635314</v>
      </c>
      <c r="N77" s="73" t="n">
        <f aca="false">N64*N51</f>
        <v>573.446031374725</v>
      </c>
      <c r="O77" s="73" t="n">
        <f aca="false">O64*O51</f>
        <v>573.772757783485</v>
      </c>
      <c r="P77" s="73" t="n">
        <f aca="false">P64*P51</f>
        <v>573.929302747682</v>
      </c>
      <c r="Q77" s="73" t="n">
        <f aca="false">Q64*Q51</f>
        <v>575.396347177956</v>
      </c>
      <c r="R77" s="73" t="n">
        <f aca="false">R64*R51</f>
        <v>694.308641736953</v>
      </c>
      <c r="S77" s="73" t="n">
        <f aca="false">S64*S51</f>
        <v>692.326904748048</v>
      </c>
      <c r="T77" s="73" t="n">
        <f aca="false">T64*T51</f>
        <v>690.37806212188</v>
      </c>
      <c r="U77" s="73" t="n">
        <f aca="false">U64*U51</f>
        <v>690.443571782131</v>
      </c>
      <c r="V77" s="73" t="n">
        <f aca="false">V64*V51</f>
        <v>690.474960664896</v>
      </c>
      <c r="W77" s="73" t="n">
        <f aca="false">W64*W51</f>
        <v>690.473345689179</v>
      </c>
      <c r="X77" s="73" t="n">
        <f aca="false">X64*X51</f>
        <v>690.472849457395</v>
      </c>
      <c r="Y77" s="73" t="n">
        <f aca="false">Y64*Y51</f>
        <v>690.472884644187</v>
      </c>
      <c r="Z77" s="73" t="n">
        <f aca="false">Z64*Z51</f>
        <v>690.47289232827</v>
      </c>
      <c r="AA77" s="73" t="n">
        <f aca="false">AA64*AA51</f>
        <v>690.472891613755</v>
      </c>
      <c r="AB77" s="73" t="n">
        <f aca="false">AB64*AB51</f>
        <v>690.472891497596</v>
      </c>
    </row>
    <row r="78" customFormat="false" ht="15" hidden="false" customHeight="false" outlineLevel="0" collapsed="false">
      <c r="A78" s="28" t="s">
        <v>1163</v>
      </c>
      <c r="B78" s="62" t="s">
        <v>1152</v>
      </c>
      <c r="C78" s="64" t="n">
        <f aca="false">SUM(E78:P78)</f>
        <v>0</v>
      </c>
      <c r="D78" s="64" t="n">
        <f aca="false">SUM(Q78:AB78)</f>
        <v>0</v>
      </c>
      <c r="E78" s="73" t="n">
        <f aca="false">E65*E52</f>
        <v>0</v>
      </c>
      <c r="F78" s="73" t="n">
        <f aca="false">F65*F52</f>
        <v>0</v>
      </c>
      <c r="G78" s="73" t="n">
        <f aca="false">G65*G52</f>
        <v>0</v>
      </c>
      <c r="H78" s="73" t="n">
        <f aca="false">H65*H52</f>
        <v>0</v>
      </c>
      <c r="I78" s="73" t="n">
        <f aca="false">I65*I52</f>
        <v>0</v>
      </c>
      <c r="J78" s="73" t="n">
        <f aca="false">J65*J52</f>
        <v>0</v>
      </c>
      <c r="K78" s="73" t="n">
        <f aca="false">K65*K52</f>
        <v>0</v>
      </c>
      <c r="L78" s="73" t="n">
        <f aca="false">L65*L52</f>
        <v>0</v>
      </c>
      <c r="M78" s="73" t="n">
        <f aca="false">M65*M52</f>
        <v>0</v>
      </c>
      <c r="N78" s="73" t="n">
        <f aca="false">N65*N52</f>
        <v>0</v>
      </c>
      <c r="O78" s="73" t="n">
        <f aca="false">O65*O52</f>
        <v>0</v>
      </c>
      <c r="P78" s="73" t="n">
        <f aca="false">P65*P52</f>
        <v>0</v>
      </c>
      <c r="Q78" s="73" t="n">
        <f aca="false">Q65*Q52</f>
        <v>0</v>
      </c>
      <c r="R78" s="73" t="n">
        <f aca="false">R65*R52</f>
        <v>0</v>
      </c>
      <c r="S78" s="73" t="n">
        <f aca="false">S65*S52</f>
        <v>0</v>
      </c>
      <c r="T78" s="73" t="n">
        <f aca="false">T65*T52</f>
        <v>0</v>
      </c>
      <c r="U78" s="73" t="n">
        <f aca="false">U65*U52</f>
        <v>0</v>
      </c>
      <c r="V78" s="73" t="n">
        <f aca="false">V65*V52</f>
        <v>0</v>
      </c>
      <c r="W78" s="73" t="n">
        <f aca="false">W65*W52</f>
        <v>0</v>
      </c>
      <c r="X78" s="73" t="n">
        <f aca="false">X65*X52</f>
        <v>0</v>
      </c>
      <c r="Y78" s="73" t="n">
        <f aca="false">Y65*Y52</f>
        <v>0</v>
      </c>
      <c r="Z78" s="73" t="n">
        <f aca="false">Z65*Z52</f>
        <v>0</v>
      </c>
      <c r="AA78" s="73" t="n">
        <f aca="false">AA65*AA52</f>
        <v>0</v>
      </c>
      <c r="AB78" s="73" t="n">
        <f aca="false">AB65*AB52</f>
        <v>0</v>
      </c>
    </row>
    <row r="79" customFormat="false" ht="15" hidden="false" customHeight="false" outlineLevel="0" collapsed="false">
      <c r="A79" s="28" t="s">
        <v>1164</v>
      </c>
      <c r="B79" s="62" t="s">
        <v>1152</v>
      </c>
      <c r="C79" s="64" t="n">
        <f aca="false">SUM(E79:P79)</f>
        <v>10597.4205914546</v>
      </c>
      <c r="D79" s="64" t="n">
        <f aca="false">SUM(Q79:AB79)</f>
        <v>11961.7498458834</v>
      </c>
      <c r="E79" s="73" t="n">
        <f aca="false">E66*E53</f>
        <v>725.923479044298</v>
      </c>
      <c r="F79" s="73" t="n">
        <f aca="false">F66*F53</f>
        <v>725.923479044298</v>
      </c>
      <c r="G79" s="73" t="n">
        <f aca="false">G66*G53</f>
        <v>871.108174853158</v>
      </c>
      <c r="H79" s="73" t="n">
        <f aca="false">H66*H53</f>
        <v>871.108174853158</v>
      </c>
      <c r="I79" s="73" t="n">
        <f aca="false">I66*I53</f>
        <v>871.108174853158</v>
      </c>
      <c r="J79" s="73" t="n">
        <f aca="false">J66*J53</f>
        <v>939.393551109651</v>
      </c>
      <c r="K79" s="73" t="n">
        <f aca="false">K66*K53</f>
        <v>939.393551109651</v>
      </c>
      <c r="L79" s="73" t="n">
        <f aca="false">L66*L53</f>
        <v>939.393551109651</v>
      </c>
      <c r="M79" s="73" t="n">
        <f aca="false">M66*M53</f>
        <v>933.130927435587</v>
      </c>
      <c r="N79" s="73" t="n">
        <f aca="false">N66*N53</f>
        <v>926.910054586016</v>
      </c>
      <c r="O79" s="73" t="n">
        <f aca="false">O66*O53</f>
        <v>926.993277896174</v>
      </c>
      <c r="P79" s="73" t="n">
        <f aca="false">P66*P53</f>
        <v>927.03419555977</v>
      </c>
      <c r="Q79" s="73" t="n">
        <f aca="false">Q66*Q53</f>
        <v>919.902072123774</v>
      </c>
      <c r="R79" s="73" t="n">
        <f aca="false">R66*R53</f>
        <v>919.901806912705</v>
      </c>
      <c r="S79" s="73" t="n">
        <f aca="false">S66*S53</f>
        <v>919.901814155712</v>
      </c>
      <c r="T79" s="73" t="n">
        <f aca="false">T66*T53</f>
        <v>919.901815875499</v>
      </c>
      <c r="U79" s="73" t="n">
        <f aca="false">U66*U53</f>
        <v>919.901815815747</v>
      </c>
      <c r="V79" s="73" t="n">
        <f aca="false">V66*V53</f>
        <v>919.90181580468</v>
      </c>
      <c r="W79" s="73" t="n">
        <f aca="false">W66*W53</f>
        <v>1075.26301136337</v>
      </c>
      <c r="X79" s="73" t="n">
        <f aca="false">X66*X53</f>
        <v>1074.22727005972</v>
      </c>
      <c r="Y79" s="73" t="n">
        <f aca="false">Y66*Y53</f>
        <v>1073.19843369802</v>
      </c>
      <c r="Z79" s="73" t="n">
        <f aca="false">Z66*Z53</f>
        <v>1073.21219754912</v>
      </c>
      <c r="AA79" s="73" t="n">
        <f aca="false">AA66*AA53</f>
        <v>1073.21896469919</v>
      </c>
      <c r="AB79" s="73" t="n">
        <f aca="false">AB66*AB53</f>
        <v>1073.21882782585</v>
      </c>
    </row>
    <row r="80" customFormat="false" ht="15" hidden="false" customHeight="false" outlineLevel="0" collapsed="false">
      <c r="A80" s="28" t="s">
        <v>1165</v>
      </c>
      <c r="B80" s="62"/>
      <c r="C80" s="64" t="n">
        <f aca="false">SUM(E80:P80)</f>
        <v>272528.791051244</v>
      </c>
      <c r="D80" s="64" t="n">
        <f aca="false">SUM(Q80:AB80)</f>
        <v>315127.27788065</v>
      </c>
      <c r="E80" s="65" t="n">
        <f aca="false">E9*(((Assumptions!$D$88*IF(Assumptions!E$206=2027,1+Assumptions!$F$193,1))/12)*(Assumptions!$C$44+Assumptions!$C$46+Assumptions!$C$47+Assumptions!$C$48+Assumptions!$C$49+Assumptions!$C$50+Assumptions!$C$51+Assumptions!$C$54+Assumptions!$C$55)+MIN(((Assumptions!$D$88*IF(Assumptions!E$206=2027,1+Assumptions!$F$193,1))/12),Assumptions!E$222)*Assumptions!$C$45+MIN(((Assumptions!$D$88*IF(Assumptions!E$206=2027,1+Assumptions!$F$193,1))/12),4*Assumptions!E$222)*(Assumptions!$C$52+Assumptions!$C$53))-E67</f>
        <v>20179.2558333333</v>
      </c>
      <c r="F80" s="65" t="n">
        <f aca="false">F9*(((Assumptions!$D$88*IF(Assumptions!F$206=2027,1+Assumptions!$F$193,1))/12)*(Assumptions!$C$44+Assumptions!$C$46+Assumptions!$C$47+Assumptions!$C$48+Assumptions!$C$49+Assumptions!$C$50+Assumptions!$C$51+Assumptions!$C$54+Assumptions!$C$55)+MIN(((Assumptions!$D$88*IF(Assumptions!F$206=2027,1+Assumptions!$F$193,1))/12),Assumptions!F$222)*Assumptions!$C$45+MIN(((Assumptions!$D$88*IF(Assumptions!F$206=2027,1+Assumptions!$F$193,1))/12),4*Assumptions!F$222)*(Assumptions!$C$52+Assumptions!$C$53))-F67</f>
        <v>23062.0066666667</v>
      </c>
      <c r="G80" s="65" t="n">
        <f aca="false">G9*(((Assumptions!$D$88*IF(Assumptions!G$206=2027,1+Assumptions!$F$193,1))/12)*(Assumptions!$C$44+Assumptions!$C$46+Assumptions!$C$47+Assumptions!$C$48+Assumptions!$C$49+Assumptions!$C$50+Assumptions!$C$51+Assumptions!$C$54+Assumptions!$C$55)+MIN(((Assumptions!$D$88*IF(Assumptions!G$206=2027,1+Assumptions!$F$193,1))/12),Assumptions!G$222)*Assumptions!$C$45+MIN(((Assumptions!$D$88*IF(Assumptions!G$206=2027,1+Assumptions!$F$193,1))/12),4*Assumptions!G$222)*(Assumptions!$C$52+Assumptions!$C$53))-G67</f>
        <v>23062.0066666667</v>
      </c>
      <c r="H80" s="65" t="n">
        <f aca="false">H9*(((Assumptions!$D$88*IF(Assumptions!H$206=2027,1+Assumptions!$F$193,1))/12)*(Assumptions!$C$44+Assumptions!$C$46+Assumptions!$C$47+Assumptions!$C$48+Assumptions!$C$49+Assumptions!$C$50+Assumptions!$C$51+Assumptions!$C$54+Assumptions!$C$55)+MIN(((Assumptions!$D$88*IF(Assumptions!H$206=2027,1+Assumptions!$F$193,1))/12),Assumptions!H$222)*Assumptions!$C$45+MIN(((Assumptions!$D$88*IF(Assumptions!H$206=2027,1+Assumptions!$F$193,1))/12),4*Assumptions!H$222)*(Assumptions!$C$52+Assumptions!$C$53))-H67</f>
        <v>23062.0066666667</v>
      </c>
      <c r="I80" s="65" t="n">
        <f aca="false">I9*(((Assumptions!$D$88*IF(Assumptions!I$206=2027,1+Assumptions!$F$193,1))/12)*(Assumptions!$C$44+Assumptions!$C$46+Assumptions!$C$47+Assumptions!$C$48+Assumptions!$C$49+Assumptions!$C$50+Assumptions!$C$51+Assumptions!$C$54+Assumptions!$C$55)+MIN(((Assumptions!$D$88*IF(Assumptions!I$206=2027,1+Assumptions!$F$193,1))/12),Assumptions!I$222)*Assumptions!$C$45+MIN(((Assumptions!$D$88*IF(Assumptions!I$206=2027,1+Assumptions!$F$193,1))/12),4*Assumptions!I$222)*(Assumptions!$C$52+Assumptions!$C$53))-I67</f>
        <v>23062.0066666667</v>
      </c>
      <c r="J80" s="65" t="n">
        <f aca="false">J9*(((Assumptions!$D$88*IF(Assumptions!J$206=2027,1+Assumptions!$F$193,1))/12)*(Assumptions!$C$44+Assumptions!$C$46+Assumptions!$C$47+Assumptions!$C$48+Assumptions!$C$49+Assumptions!$C$50+Assumptions!$C$51+Assumptions!$C$54+Assumptions!$C$55)+MIN(((Assumptions!$D$88*IF(Assumptions!J$206=2027,1+Assumptions!$F$193,1))/12),Assumptions!J$222)*Assumptions!$C$45+MIN(((Assumptions!$D$88*IF(Assumptions!J$206=2027,1+Assumptions!$F$193,1))/12),4*Assumptions!J$222)*(Assumptions!$C$52+Assumptions!$C$53))-J67</f>
        <v>23062.0066666667</v>
      </c>
      <c r="K80" s="65" t="n">
        <f aca="false">K9*(((Assumptions!$D$88*IF(Assumptions!K$206=2027,1+Assumptions!$F$193,1))/12)*(Assumptions!$C$44+Assumptions!$C$46+Assumptions!$C$47+Assumptions!$C$48+Assumptions!$C$49+Assumptions!$C$50+Assumptions!$C$51+Assumptions!$C$54+Assumptions!$C$55)+MIN(((Assumptions!$D$88*IF(Assumptions!K$206=2027,1+Assumptions!$F$193,1))/12),Assumptions!K$222)*Assumptions!$C$45+MIN(((Assumptions!$D$88*IF(Assumptions!K$206=2027,1+Assumptions!$F$193,1))/12),4*Assumptions!K$222)*(Assumptions!$C$52+Assumptions!$C$53))-K67</f>
        <v>23062.0066666667</v>
      </c>
      <c r="L80" s="65" t="n">
        <f aca="false">L9*(((Assumptions!$D$88*IF(Assumptions!L$206=2027,1+Assumptions!$F$193,1))/12)*(Assumptions!$C$44+Assumptions!$C$46+Assumptions!$C$47+Assumptions!$C$48+Assumptions!$C$49+Assumptions!$C$50+Assumptions!$C$51+Assumptions!$C$54+Assumptions!$C$55)+MIN(((Assumptions!$D$88*IF(Assumptions!L$206=2027,1+Assumptions!$F$193,1))/12),Assumptions!L$222)*Assumptions!$C$45+MIN(((Assumptions!$D$88*IF(Assumptions!L$206=2027,1+Assumptions!$F$193,1))/12),4*Assumptions!L$222)*(Assumptions!$C$52+Assumptions!$C$53))-L67</f>
        <v>23062.0066666667</v>
      </c>
      <c r="M80" s="65" t="n">
        <f aca="false">M9*(((Assumptions!$D$88*IF(Assumptions!M$206=2027,1+Assumptions!$F$193,1))/12)*(Assumptions!$C$44+Assumptions!$C$46+Assumptions!$C$47+Assumptions!$C$48+Assumptions!$C$49+Assumptions!$C$50+Assumptions!$C$51+Assumptions!$C$54+Assumptions!$C$55)+MIN(((Assumptions!$D$88*IF(Assumptions!M$206=2027,1+Assumptions!$F$193,1))/12),Assumptions!M$222)*Assumptions!$C$45+MIN(((Assumptions!$D$88*IF(Assumptions!M$206=2027,1+Assumptions!$F$193,1))/12),4*Assumptions!M$222)*(Assumptions!$C$52+Assumptions!$C$53))-M67</f>
        <v>22869.8232777778</v>
      </c>
      <c r="N80" s="65" t="n">
        <f aca="false">N9*(((Assumptions!$D$88*IF(Assumptions!N$206=2027,1+Assumptions!$F$193,1))/12)*(Assumptions!$C$44+Assumptions!$C$46+Assumptions!$C$47+Assumptions!$C$48+Assumptions!$C$49+Assumptions!$C$50+Assumptions!$C$51+Assumptions!$C$54+Assumptions!$C$55)+MIN(((Assumptions!$D$88*IF(Assumptions!N$206=2027,1+Assumptions!$F$193,1))/12),Assumptions!N$222)*Assumptions!$C$45+MIN(((Assumptions!$D$88*IF(Assumptions!N$206=2027,1+Assumptions!$F$193,1))/12),4*Assumptions!N$222)*(Assumptions!$C$52+Assumptions!$C$53))-N67</f>
        <v>22679.2414171296</v>
      </c>
      <c r="O80" s="65" t="n">
        <f aca="false">O9*(((Assumptions!$D$88*IF(Assumptions!O$206=2027,1+Assumptions!$F$193,1))/12)*(Assumptions!$C$44+Assumptions!$C$46+Assumptions!$C$47+Assumptions!$C$48+Assumptions!$C$49+Assumptions!$C$50+Assumptions!$C$51+Assumptions!$C$54+Assumptions!$C$55)+MIN(((Assumptions!$D$88*IF(Assumptions!O$206=2027,1+Assumptions!$F$193,1))/12),Assumptions!O$222)*Assumptions!$C$45+MIN(((Assumptions!$D$88*IF(Assumptions!O$206=2027,1+Assumptions!$F$193,1))/12),4*Assumptions!O$222)*(Assumptions!$C$52+Assumptions!$C$53))-O67</f>
        <v>22682.4311275424</v>
      </c>
      <c r="P80" s="65" t="n">
        <f aca="false">P9*(((Assumptions!$D$88*IF(Assumptions!P$206=2027,1+Assumptions!$F$193,1))/12)*(Assumptions!$C$44+Assumptions!$C$46+Assumptions!$C$47+Assumptions!$C$48+Assumptions!$C$49+Assumptions!$C$50+Assumptions!$C$51+Assumptions!$C$54+Assumptions!$C$55)+MIN(((Assumptions!$D$88*IF(Assumptions!P$206=2027,1+Assumptions!$F$193,1))/12),Assumptions!P$222)*Assumptions!$C$45+MIN(((Assumptions!$D$88*IF(Assumptions!P$206=2027,1+Assumptions!$F$193,1))/12),4*Assumptions!P$222)*(Assumptions!$C$52+Assumptions!$C$53))-P67</f>
        <v>22683.9927287944</v>
      </c>
      <c r="Q80" s="65" t="n">
        <f aca="false">Q9*(((Assumptions!$D$88*IF(Assumptions!Q$206=2027,1+Assumptions!$F$193,1))/12)*(Assumptions!$C$44+Assumptions!$C$46+Assumptions!$C$47+Assumptions!$C$48+Assumptions!$C$49+Assumptions!$C$50+Assumptions!$C$51+Assumptions!$C$54+Assumptions!$C$55)+MIN(((Assumptions!$D$88*IF(Assumptions!Q$206=2027,1+Assumptions!$F$193,1))/12),Assumptions!Q$222)*Assumptions!$C$45+MIN(((Assumptions!$D$88*IF(Assumptions!Q$206=2027,1+Assumptions!$F$193,1))/12),4*Assumptions!Q$222)*(Assumptions!$C$52+Assumptions!$C$53))-Q67</f>
        <v>26303.2598539876</v>
      </c>
      <c r="R80" s="65" t="n">
        <f aca="false">R9*(((Assumptions!$D$88*IF(Assumptions!R$206=2027,1+Assumptions!$F$193,1))/12)*(Assumptions!$C$44+Assumptions!$C$46+Assumptions!$C$47+Assumptions!$C$48+Assumptions!$C$49+Assumptions!$C$50+Assumptions!$C$51+Assumptions!$C$54+Assumptions!$C$55)+MIN(((Assumptions!$D$88*IF(Assumptions!R$206=2027,1+Assumptions!$F$193,1))/12),Assumptions!R$222)*Assumptions!$C$45+MIN(((Assumptions!$D$88*IF(Assumptions!R$206=2027,1+Assumptions!$F$193,1))/12),4*Assumptions!R$222)*(Assumptions!$C$52+Assumptions!$C$53))-R67</f>
        <v>26278.5318007535</v>
      </c>
      <c r="S80" s="65" t="n">
        <f aca="false">S9*(((Assumptions!$D$88*IF(Assumptions!S$206=2027,1+Assumptions!$F$193,1))/12)*(Assumptions!$C$44+Assumptions!$C$46+Assumptions!$C$47+Assumptions!$C$48+Assumptions!$C$49+Assumptions!$C$50+Assumptions!$C$51+Assumptions!$C$54+Assumptions!$C$55)+MIN(((Assumptions!$D$88*IF(Assumptions!S$206=2027,1+Assumptions!$F$193,1))/12),Assumptions!S$222)*Assumptions!$C$45+MIN(((Assumptions!$D$88*IF(Assumptions!S$206=2027,1+Assumptions!$F$193,1))/12),4*Assumptions!S$222)*(Assumptions!$C$52+Assumptions!$C$53))-S67</f>
        <v>26254.0232028772</v>
      </c>
      <c r="T80" s="65" t="n">
        <f aca="false">T9*(((Assumptions!$D$88*IF(Assumptions!T$206=2027,1+Assumptions!$F$193,1))/12)*(Assumptions!$C$44+Assumptions!$C$46+Assumptions!$C$47+Assumptions!$C$48+Assumptions!$C$49+Assumptions!$C$50+Assumptions!$C$51+Assumptions!$C$54+Assumptions!$C$55)+MIN(((Assumptions!$D$88*IF(Assumptions!T$206=2027,1+Assumptions!$F$193,1))/12),Assumptions!T$222)*Assumptions!$C$45+MIN(((Assumptions!$D$88*IF(Assumptions!T$206=2027,1+Assumptions!$F$193,1))/12),4*Assumptions!T$222)*(Assumptions!$C$52+Assumptions!$C$53))-T67</f>
        <v>26254.4335083031</v>
      </c>
      <c r="U80" s="65" t="n">
        <f aca="false">U9*(((Assumptions!$D$88*IF(Assumptions!U$206=2027,1+Assumptions!$F$193,1))/12)*(Assumptions!$C$44+Assumptions!$C$46+Assumptions!$C$47+Assumptions!$C$48+Assumptions!$C$49+Assumptions!$C$50+Assumptions!$C$51+Assumptions!$C$54+Assumptions!$C$55)+MIN(((Assumptions!$D$88*IF(Assumptions!U$206=2027,1+Assumptions!$F$193,1))/12),Assumptions!U$222)*Assumptions!$C$45+MIN(((Assumptions!$D$88*IF(Assumptions!U$206=2027,1+Assumptions!$F$193,1))/12),4*Assumptions!U$222)*(Assumptions!$C$52+Assumptions!$C$53))-U67</f>
        <v>26254.6343274068</v>
      </c>
      <c r="V80" s="65" t="n">
        <f aca="false">V9*(((Assumptions!$D$88*IF(Assumptions!V$206=2027,1+Assumptions!$F$193,1))/12)*(Assumptions!$C$44+Assumptions!$C$46+Assumptions!$C$47+Assumptions!$C$48+Assumptions!$C$49+Assumptions!$C$50+Assumptions!$C$51+Assumptions!$C$54+Assumptions!$C$55)+MIN(((Assumptions!$D$88*IF(Assumptions!V$206=2027,1+Assumptions!$F$193,1))/12),Assumptions!V$222)*Assumptions!$C$45+MIN(((Assumptions!$D$88*IF(Assumptions!V$206=2027,1+Assumptions!$F$193,1))/12),4*Assumptions!V$222)*(Assumptions!$C$52+Assumptions!$C$53))-V67</f>
        <v>26254.6292347024</v>
      </c>
      <c r="W80" s="65" t="n">
        <f aca="false">W9*(((Assumptions!$D$88*IF(Assumptions!W$206=2027,1+Assumptions!$F$193,1))/12)*(Assumptions!$C$44+Assumptions!$C$46+Assumptions!$C$47+Assumptions!$C$48+Assumptions!$C$49+Assumptions!$C$50+Assumptions!$C$51+Assumptions!$C$54+Assumptions!$C$55)+MIN(((Assumptions!$D$88*IF(Assumptions!W$206=2027,1+Assumptions!$F$193,1))/12),Assumptions!W$222)*Assumptions!$C$45+MIN(((Assumptions!$D$88*IF(Assumptions!W$206=2027,1+Assumptions!$F$193,1))/12),4*Assumptions!W$222)*(Assumptions!$C$52+Assumptions!$C$53))-W67</f>
        <v>26254.6276036491</v>
      </c>
      <c r="X80" s="65" t="n">
        <f aca="false">X9*(((Assumptions!$D$88*IF(Assumptions!X$206=2027,1+Assumptions!$F$193,1))/12)*(Assumptions!$C$44+Assumptions!$C$46+Assumptions!$C$47+Assumptions!$C$48+Assumptions!$C$49+Assumptions!$C$50+Assumptions!$C$51+Assumptions!$C$54+Assumptions!$C$55)+MIN(((Assumptions!$D$88*IF(Assumptions!X$206=2027,1+Assumptions!$F$193,1))/12),Assumptions!X$222)*Assumptions!$C$45+MIN(((Assumptions!$D$88*IF(Assumptions!X$206=2027,1+Assumptions!$F$193,1))/12),4*Assumptions!X$222)*(Assumptions!$C$52+Assumptions!$C$53))-X67</f>
        <v>26254.6276596804</v>
      </c>
      <c r="Y80" s="65" t="n">
        <f aca="false">Y9*(((Assumptions!$D$88*IF(Assumptions!Y$206=2027,1+Assumptions!$F$193,1))/12)*(Assumptions!$C$44+Assumptions!$C$46+Assumptions!$C$47+Assumptions!$C$48+Assumptions!$C$49+Assumptions!$C$50+Assumptions!$C$51+Assumptions!$C$54+Assumptions!$C$55)+MIN(((Assumptions!$D$88*IF(Assumptions!Y$206=2027,1+Assumptions!$F$193,1))/12),Assumptions!Y$222)*Assumptions!$C$45+MIN(((Assumptions!$D$88*IF(Assumptions!Y$206=2027,1+Assumptions!$F$193,1))/12),4*Assumptions!Y$222)*(Assumptions!$C$52+Assumptions!$C$53))-Y67</f>
        <v>26254.6276728056</v>
      </c>
      <c r="Z80" s="65" t="n">
        <f aca="false">Z9*(((Assumptions!$D$88*IF(Assumptions!Z$206=2027,1+Assumptions!$F$193,1))/12)*(Assumptions!$C$44+Assumptions!$C$46+Assumptions!$C$47+Assumptions!$C$48+Assumptions!$C$49+Assumptions!$C$50+Assumptions!$C$51+Assumptions!$C$54+Assumptions!$C$55)+MIN(((Assumptions!$D$88*IF(Assumptions!Z$206=2027,1+Assumptions!$F$193,1))/12),Assumptions!Z$222)*Assumptions!$C$45+MIN(((Assumptions!$D$88*IF(Assumptions!Z$206=2027,1+Assumptions!$F$193,1))/12),4*Assumptions!Z$222)*(Assumptions!$C$52+Assumptions!$C$53))-Z67</f>
        <v>26254.6276722293</v>
      </c>
      <c r="AA80" s="65" t="n">
        <f aca="false">AA9*(((Assumptions!$D$88*IF(Assumptions!AA$206=2027,1+Assumptions!$F$193,1))/12)*(Assumptions!$C$44+Assumptions!$C$46+Assumptions!$C$47+Assumptions!$C$48+Assumptions!$C$49+Assumptions!$C$50+Assumptions!$C$51+Assumptions!$C$54+Assumptions!$C$55)+MIN(((Assumptions!$D$88*IF(Assumptions!AA$206=2027,1+Assumptions!$F$193,1))/12),Assumptions!AA$222)*Assumptions!$C$45+MIN(((Assumptions!$D$88*IF(Assumptions!AA$206=2027,1+Assumptions!$F$193,1))/12),4*Assumptions!AA$222)*(Assumptions!$C$52+Assumptions!$C$53))-AA67</f>
        <v>26254.6276721247</v>
      </c>
      <c r="AB80" s="65" t="n">
        <f aca="false">AB9*(((Assumptions!$D$88*IF(Assumptions!AB$206=2027,1+Assumptions!$F$193,1))/12)*(Assumptions!$C$44+Assumptions!$C$46+Assumptions!$C$47+Assumptions!$C$48+Assumptions!$C$49+Assumptions!$C$50+Assumptions!$C$51+Assumptions!$C$54+Assumptions!$C$55)+MIN(((Assumptions!$D$88*IF(Assumptions!AB$206=2027,1+Assumptions!$F$193,1))/12),Assumptions!AB$222)*Assumptions!$C$45+MIN(((Assumptions!$D$88*IF(Assumptions!AB$206=2027,1+Assumptions!$F$193,1))/12),4*Assumptions!AB$222)*(Assumptions!$C$52+Assumptions!$C$53))-AB67</f>
        <v>26254.6276721304</v>
      </c>
    </row>
    <row r="81" customFormat="false" ht="15" hidden="false" customHeight="false" outlineLevel="0" collapsed="false">
      <c r="A81" s="28" t="s">
        <v>1166</v>
      </c>
      <c r="B81" s="62"/>
      <c r="C81" s="64" t="n">
        <f aca="false">SUM(E81:P81)</f>
        <v>327078.458501254</v>
      </c>
      <c r="D81" s="64" t="n">
        <f aca="false">SUM(Q81:AB81)</f>
        <v>378045.33713174</v>
      </c>
      <c r="E81" s="65" t="n">
        <f aca="false">E10*(((Assumptions!$D$89*IF(Assumptions!E$206=2027,1+Assumptions!$F$193,1))/12)*(Assumptions!$C$44+Assumptions!$C$46+Assumptions!$C$47+Assumptions!$C$48+Assumptions!$C$49+Assumptions!$C$50+Assumptions!$C$51+Assumptions!$C$54+Assumptions!$C$55)+MIN(((Assumptions!$D$89*IF(Assumptions!E$206=2027,1+Assumptions!$F$193,1))/12),Assumptions!E$222)*Assumptions!$C$45+MIN(((Assumptions!$D$89*IF(Assumptions!E$206=2027,1+Assumptions!$F$193,1))/12),4*Assumptions!E$222)*(Assumptions!$C$52+Assumptions!$C$53))-E68</f>
        <v>26007.4925</v>
      </c>
      <c r="F81" s="65" t="n">
        <f aca="false">F10*(((Assumptions!$D$89*IF(Assumptions!F$206=2027,1+Assumptions!$F$193,1))/12)*(Assumptions!$C$44+Assumptions!$C$46+Assumptions!$C$47+Assumptions!$C$48+Assumptions!$C$49+Assumptions!$C$50+Assumptions!$C$51+Assumptions!$C$54+Assumptions!$C$55)+MIN(((Assumptions!$D$89*IF(Assumptions!F$206=2027,1+Assumptions!$F$193,1))/12),Assumptions!F$222)*Assumptions!$C$45+MIN(((Assumptions!$D$89*IF(Assumptions!F$206=2027,1+Assumptions!$F$193,1))/12),4*Assumptions!F$222)*(Assumptions!$C$52+Assumptions!$C$53))-F68</f>
        <v>26007.4925</v>
      </c>
      <c r="G81" s="65" t="n">
        <f aca="false">G10*(((Assumptions!$D$89*IF(Assumptions!G$206=2027,1+Assumptions!$F$193,1))/12)*(Assumptions!$C$44+Assumptions!$C$46+Assumptions!$C$47+Assumptions!$C$48+Assumptions!$C$49+Assumptions!$C$50+Assumptions!$C$51+Assumptions!$C$54+Assumptions!$C$55)+MIN(((Assumptions!$D$89*IF(Assumptions!G$206=2027,1+Assumptions!$F$193,1))/12),Assumptions!G$222)*Assumptions!$C$45+MIN(((Assumptions!$D$89*IF(Assumptions!G$206=2027,1+Assumptions!$F$193,1))/12),4*Assumptions!G$222)*(Assumptions!$C$52+Assumptions!$C$53))-G68</f>
        <v>26007.4925</v>
      </c>
      <c r="H81" s="65" t="n">
        <f aca="false">H10*(((Assumptions!$D$89*IF(Assumptions!H$206=2027,1+Assumptions!$F$193,1))/12)*(Assumptions!$C$44+Assumptions!$C$46+Assumptions!$C$47+Assumptions!$C$48+Assumptions!$C$49+Assumptions!$C$50+Assumptions!$C$51+Assumptions!$C$54+Assumptions!$C$55)+MIN(((Assumptions!$D$89*IF(Assumptions!H$206=2027,1+Assumptions!$F$193,1))/12),Assumptions!H$222)*Assumptions!$C$45+MIN(((Assumptions!$D$89*IF(Assumptions!H$206=2027,1+Assumptions!$F$193,1))/12),4*Assumptions!H$222)*(Assumptions!$C$52+Assumptions!$C$53))-H68</f>
        <v>28371.81</v>
      </c>
      <c r="I81" s="65" t="n">
        <f aca="false">I10*(((Assumptions!$D$89*IF(Assumptions!I$206=2027,1+Assumptions!$F$193,1))/12)*(Assumptions!$C$44+Assumptions!$C$46+Assumptions!$C$47+Assumptions!$C$48+Assumptions!$C$49+Assumptions!$C$50+Assumptions!$C$51+Assumptions!$C$54+Assumptions!$C$55)+MIN(((Assumptions!$D$89*IF(Assumptions!I$206=2027,1+Assumptions!$F$193,1))/12),Assumptions!I$222)*Assumptions!$C$45+MIN(((Assumptions!$D$89*IF(Assumptions!I$206=2027,1+Assumptions!$F$193,1))/12),4*Assumptions!I$222)*(Assumptions!$C$52+Assumptions!$C$53))-I68</f>
        <v>28371.81</v>
      </c>
      <c r="J81" s="65" t="n">
        <f aca="false">J10*(((Assumptions!$D$89*IF(Assumptions!J$206=2027,1+Assumptions!$F$193,1))/12)*(Assumptions!$C$44+Assumptions!$C$46+Assumptions!$C$47+Assumptions!$C$48+Assumptions!$C$49+Assumptions!$C$50+Assumptions!$C$51+Assumptions!$C$54+Assumptions!$C$55)+MIN(((Assumptions!$D$89*IF(Assumptions!J$206=2027,1+Assumptions!$F$193,1))/12),Assumptions!J$222)*Assumptions!$C$45+MIN(((Assumptions!$D$89*IF(Assumptions!J$206=2027,1+Assumptions!$F$193,1))/12),4*Assumptions!J$222)*(Assumptions!$C$52+Assumptions!$C$53))-J68</f>
        <v>28371.81</v>
      </c>
      <c r="K81" s="65" t="n">
        <f aca="false">K10*(((Assumptions!$D$89*IF(Assumptions!K$206=2027,1+Assumptions!$F$193,1))/12)*(Assumptions!$C$44+Assumptions!$C$46+Assumptions!$C$47+Assumptions!$C$48+Assumptions!$C$49+Assumptions!$C$50+Assumptions!$C$51+Assumptions!$C$54+Assumptions!$C$55)+MIN(((Assumptions!$D$89*IF(Assumptions!K$206=2027,1+Assumptions!$F$193,1))/12),Assumptions!K$222)*Assumptions!$C$45+MIN(((Assumptions!$D$89*IF(Assumptions!K$206=2027,1+Assumptions!$F$193,1))/12),4*Assumptions!K$222)*(Assumptions!$C$52+Assumptions!$C$53))-K68</f>
        <v>28371.81</v>
      </c>
      <c r="L81" s="65" t="n">
        <f aca="false">L10*(((Assumptions!$D$89*IF(Assumptions!L$206=2027,1+Assumptions!$F$193,1))/12)*(Assumptions!$C$44+Assumptions!$C$46+Assumptions!$C$47+Assumptions!$C$48+Assumptions!$C$49+Assumptions!$C$50+Assumptions!$C$51+Assumptions!$C$54+Assumptions!$C$55)+MIN(((Assumptions!$D$89*IF(Assumptions!L$206=2027,1+Assumptions!$F$193,1))/12),Assumptions!L$222)*Assumptions!$C$45+MIN(((Assumptions!$D$89*IF(Assumptions!L$206=2027,1+Assumptions!$F$193,1))/12),4*Assumptions!L$222)*(Assumptions!$C$52+Assumptions!$C$53))-L68</f>
        <v>26007.4925</v>
      </c>
      <c r="M81" s="65" t="n">
        <f aca="false">M10*(((Assumptions!$D$89*IF(Assumptions!M$206=2027,1+Assumptions!$F$193,1))/12)*(Assumptions!$C$44+Assumptions!$C$46+Assumptions!$C$47+Assumptions!$C$48+Assumptions!$C$49+Assumptions!$C$50+Assumptions!$C$51+Assumptions!$C$54+Assumptions!$C$55)+MIN(((Assumptions!$D$89*IF(Assumptions!M$206=2027,1+Assumptions!$F$193,1))/12),Assumptions!M$222)*Assumptions!$C$45+MIN(((Assumptions!$D$89*IF(Assumptions!M$206=2027,1+Assumptions!$F$193,1))/12),4*Assumptions!M$222)*(Assumptions!$C$52+Assumptions!$C$53))-M68</f>
        <v>25790.7633958333</v>
      </c>
      <c r="N81" s="65" t="n">
        <f aca="false">N10*(((Assumptions!$D$89*IF(Assumptions!N$206=2027,1+Assumptions!$F$193,1))/12)*(Assumptions!$C$44+Assumptions!$C$46+Assumptions!$C$47+Assumptions!$C$48+Assumptions!$C$49+Assumptions!$C$50+Assumptions!$C$51+Assumptions!$C$54+Assumptions!$C$55)+MIN(((Assumptions!$D$89*IF(Assumptions!N$206=2027,1+Assumptions!$F$193,1))/12),Assumptions!N$222)*Assumptions!$C$45+MIN(((Assumptions!$D$89*IF(Assumptions!N$206=2027,1+Assumptions!$F$193,1))/12),4*Assumptions!N$222)*(Assumptions!$C$52+Assumptions!$C$53))-N68</f>
        <v>27940.1578675347</v>
      </c>
      <c r="O81" s="65" t="n">
        <f aca="false">O10*(((Assumptions!$D$89*IF(Assumptions!O$206=2027,1+Assumptions!$F$193,1))/12)*(Assumptions!$C$44+Assumptions!$C$46+Assumptions!$C$47+Assumptions!$C$48+Assumptions!$C$49+Assumptions!$C$50+Assumptions!$C$51+Assumptions!$C$54+Assumptions!$C$55)+MIN(((Assumptions!$D$89*IF(Assumptions!O$206=2027,1+Assumptions!$F$193,1))/12),Assumptions!O$222)*Assumptions!$C$45+MIN(((Assumptions!$D$89*IF(Assumptions!O$206=2027,1+Assumptions!$F$193,1))/12),4*Assumptions!O$222)*(Assumptions!$C$52+Assumptions!$C$53))-O68</f>
        <v>27924.0523228053</v>
      </c>
      <c r="P81" s="65" t="n">
        <f aca="false">P10*(((Assumptions!$D$89*IF(Assumptions!P$206=2027,1+Assumptions!$F$193,1))/12)*(Assumptions!$C$44+Assumptions!$C$46+Assumptions!$C$47+Assumptions!$C$48+Assumptions!$C$49+Assumptions!$C$50+Assumptions!$C$51+Assumptions!$C$54+Assumptions!$C$55)+MIN(((Assumptions!$D$89*IF(Assumptions!P$206=2027,1+Assumptions!$F$193,1))/12),Assumptions!P$222)*Assumptions!$C$45+MIN(((Assumptions!$D$89*IF(Assumptions!P$206=2027,1+Assumptions!$F$193,1))/12),4*Assumptions!P$222)*(Assumptions!$C$52+Assumptions!$C$53))-P68</f>
        <v>27906.2749150805</v>
      </c>
      <c r="Q81" s="65" t="n">
        <f aca="false">Q10*(((Assumptions!$D$89*IF(Assumptions!Q$206=2027,1+Assumptions!$F$193,1))/12)*(Assumptions!$C$44+Assumptions!$C$46+Assumptions!$C$47+Assumptions!$C$48+Assumptions!$C$49+Assumptions!$C$50+Assumptions!$C$51+Assumptions!$C$54+Assumptions!$C$55)+MIN(((Assumptions!$D$89*IF(Assumptions!Q$206=2027,1+Assumptions!$F$193,1))/12),Assumptions!Q$222)*Assumptions!$C$45+MIN(((Assumptions!$D$89*IF(Assumptions!Q$206=2027,1+Assumptions!$F$193,1))/12),4*Assumptions!Q$222)*(Assumptions!$C$52+Assumptions!$C$53))-Q68</f>
        <v>28703.2356058937</v>
      </c>
      <c r="R81" s="65" t="n">
        <f aca="false">R10*(((Assumptions!$D$89*IF(Assumptions!R$206=2027,1+Assumptions!$F$193,1))/12)*(Assumptions!$C$44+Assumptions!$C$46+Assumptions!$C$47+Assumptions!$C$48+Assumptions!$C$49+Assumptions!$C$50+Assumptions!$C$51+Assumptions!$C$54+Assumptions!$C$55)+MIN(((Assumptions!$D$89*IF(Assumptions!R$206=2027,1+Assumptions!$F$193,1))/12),Assumptions!R$222)*Assumptions!$C$45+MIN(((Assumptions!$D$89*IF(Assumptions!R$206=2027,1+Assumptions!$F$193,1))/12),4*Assumptions!R$222)*(Assumptions!$C$52+Assumptions!$C$53))-R68</f>
        <v>28703.3855600577</v>
      </c>
      <c r="S81" s="65" t="n">
        <f aca="false">S10*(((Assumptions!$D$89*IF(Assumptions!S$206=2027,1+Assumptions!$F$193,1))/12)*(Assumptions!$C$44+Assumptions!$C$46+Assumptions!$C$47+Assumptions!$C$48+Assumptions!$C$49+Assumptions!$C$50+Assumptions!$C$51+Assumptions!$C$54+Assumptions!$C$55)+MIN(((Assumptions!$D$89*IF(Assumptions!S$206=2027,1+Assumptions!$F$193,1))/12),Assumptions!S$222)*Assumptions!$C$45+MIN(((Assumptions!$D$89*IF(Assumptions!S$206=2027,1+Assumptions!$F$193,1))/12),4*Assumptions!S$222)*(Assumptions!$C$52+Assumptions!$C$53))-S68</f>
        <v>31135.1960902837</v>
      </c>
      <c r="T81" s="65" t="n">
        <f aca="false">T10*(((Assumptions!$D$89*IF(Assumptions!T$206=2027,1+Assumptions!$F$193,1))/12)*(Assumptions!$C$44+Assumptions!$C$46+Assumptions!$C$47+Assumptions!$C$48+Assumptions!$C$49+Assumptions!$C$50+Assumptions!$C$51+Assumptions!$C$54+Assumptions!$C$55)+MIN(((Assumptions!$D$89*IF(Assumptions!T$206=2027,1+Assumptions!$F$193,1))/12),Assumptions!T$222)*Assumptions!$C$45+MIN(((Assumptions!$D$89*IF(Assumptions!T$206=2027,1+Assumptions!$F$193,1))/12),4*Assumptions!T$222)*(Assumptions!$C$52+Assumptions!$C$53))-T68</f>
        <v>31114.9297529138</v>
      </c>
      <c r="U81" s="65" t="n">
        <f aca="false">U10*(((Assumptions!$D$89*IF(Assumptions!U$206=2027,1+Assumptions!$F$193,1))/12)*(Assumptions!$C$44+Assumptions!$C$46+Assumptions!$C$47+Assumptions!$C$48+Assumptions!$C$49+Assumptions!$C$50+Assumptions!$C$51+Assumptions!$C$54+Assumptions!$C$55)+MIN(((Assumptions!$D$89*IF(Assumptions!U$206=2027,1+Assumptions!$F$193,1))/12),Assumptions!U$222)*Assumptions!$C$45+MIN(((Assumptions!$D$89*IF(Assumptions!U$206=2027,1+Assumptions!$F$193,1))/12),4*Assumptions!U$222)*(Assumptions!$C$52+Assumptions!$C$53))-U68</f>
        <v>31094.8335513067</v>
      </c>
      <c r="V81" s="65" t="n">
        <f aca="false">V10*(((Assumptions!$D$89*IF(Assumptions!V$206=2027,1+Assumptions!$F$193,1))/12)*(Assumptions!$C$44+Assumptions!$C$46+Assumptions!$C$47+Assumptions!$C$48+Assumptions!$C$49+Assumptions!$C$50+Assumptions!$C$51+Assumptions!$C$54+Assumptions!$C$55)+MIN(((Assumptions!$D$89*IF(Assumptions!V$206=2027,1+Assumptions!$F$193,1))/12),Assumptions!V$222)*Assumptions!$C$45+MIN(((Assumptions!$D$89*IF(Assumptions!V$206=2027,1+Assumptions!$F$193,1))/12),4*Assumptions!V$222)*(Assumptions!$C$52+Assumptions!$C$53))-V68</f>
        <v>31095.1699057982</v>
      </c>
      <c r="W81" s="65" t="n">
        <f aca="false">W10*(((Assumptions!$D$89*IF(Assumptions!W$206=2027,1+Assumptions!$F$193,1))/12)*(Assumptions!$C$44+Assumptions!$C$46+Assumptions!$C$47+Assumptions!$C$48+Assumptions!$C$49+Assumptions!$C$50+Assumptions!$C$51+Assumptions!$C$54+Assumptions!$C$55)+MIN(((Assumptions!$D$89*IF(Assumptions!W$206=2027,1+Assumptions!$F$193,1))/12),Assumptions!W$222)*Assumptions!$C$45+MIN(((Assumptions!$D$89*IF(Assumptions!W$206=2027,1+Assumptions!$F$193,1))/12),4*Assumptions!W$222)*(Assumptions!$C$52+Assumptions!$C$53))-W68</f>
        <v>31095.3345711908</v>
      </c>
      <c r="X81" s="65" t="n">
        <f aca="false">X10*(((Assumptions!$D$89*IF(Assumptions!X$206=2027,1+Assumptions!$F$193,1))/12)*(Assumptions!$C$44+Assumptions!$C$46+Assumptions!$C$47+Assumptions!$C$48+Assumptions!$C$49+Assumptions!$C$50+Assumptions!$C$51+Assumptions!$C$54+Assumptions!$C$55)+MIN(((Assumptions!$D$89*IF(Assumptions!X$206=2027,1+Assumptions!$F$193,1))/12),Assumptions!X$222)*Assumptions!$C$45+MIN(((Assumptions!$D$89*IF(Assumptions!X$206=2027,1+Assumptions!$F$193,1))/12),4*Assumptions!X$222)*(Assumptions!$C$52+Assumptions!$C$53))-X68</f>
        <v>31095.3303960251</v>
      </c>
      <c r="Y81" s="65" t="n">
        <f aca="false">Y10*(((Assumptions!$D$89*IF(Assumptions!Y$206=2027,1+Assumptions!$F$193,1))/12)*(Assumptions!$C$44+Assumptions!$C$46+Assumptions!$C$47+Assumptions!$C$48+Assumptions!$C$49+Assumptions!$C$50+Assumptions!$C$51+Assumptions!$C$54+Assumptions!$C$55)+MIN(((Assumptions!$D$89*IF(Assumptions!Y$206=2027,1+Assumptions!$F$193,1))/12),Assumptions!Y$222)*Assumptions!$C$45+MIN(((Assumptions!$D$89*IF(Assumptions!Y$206=2027,1+Assumptions!$F$193,1))/12),4*Assumptions!Y$222)*(Assumptions!$C$52+Assumptions!$C$53))-Y68</f>
        <v>33527.1432586065</v>
      </c>
      <c r="Z81" s="65" t="n">
        <f aca="false">Z10*(((Assumptions!$D$89*IF(Assumptions!Z$206=2027,1+Assumptions!$F$193,1))/12)*(Assumptions!$C$44+Assumptions!$C$46+Assumptions!$C$47+Assumptions!$C$48+Assumptions!$C$49+Assumptions!$C$50+Assumptions!$C$51+Assumptions!$C$54+Assumptions!$C$55)+MIN(((Assumptions!$D$89*IF(Assumptions!Z$206=2027,1+Assumptions!$F$193,1))/12),Assumptions!Z$222)*Assumptions!$C$45+MIN(((Assumptions!$D$89*IF(Assumptions!Z$206=2027,1+Assumptions!$F$193,1))/12),4*Assumptions!Z$222)*(Assumptions!$C$52+Assumptions!$C$53))-Z68</f>
        <v>33506.8781862114</v>
      </c>
      <c r="AA81" s="65" t="n">
        <f aca="false">AA10*(((Assumptions!$D$89*IF(Assumptions!AA$206=2027,1+Assumptions!$F$193,1))/12)*(Assumptions!$C$44+Assumptions!$C$46+Assumptions!$C$47+Assumptions!$C$48+Assumptions!$C$49+Assumptions!$C$50+Assumptions!$C$51+Assumptions!$C$54+Assumptions!$C$55)+MIN(((Assumptions!$D$89*IF(Assumptions!AA$206=2027,1+Assumptions!$F$193,1))/12),Assumptions!AA$222)*Assumptions!$C$45+MIN(((Assumptions!$D$89*IF(Assumptions!AA$206=2027,1+Assumptions!$F$193,1))/12),4*Assumptions!AA$222)*(Assumptions!$C$52+Assumptions!$C$53))-AA68</f>
        <v>33486.7819546265</v>
      </c>
      <c r="AB81" s="65" t="n">
        <f aca="false">AB10*(((Assumptions!$D$89*IF(Assumptions!AB$206=2027,1+Assumptions!$F$193,1))/12)*(Assumptions!$C$44+Assumptions!$C$46+Assumptions!$C$47+Assumptions!$C$48+Assumptions!$C$49+Assumptions!$C$50+Assumptions!$C$51+Assumptions!$C$54+Assumptions!$C$55)+MIN(((Assumptions!$D$89*IF(Assumptions!AB$206=2027,1+Assumptions!$F$193,1))/12),Assumptions!AB$222)*Assumptions!$C$45+MIN(((Assumptions!$D$89*IF(Assumptions!AB$206=2027,1+Assumptions!$F$193,1))/12),4*Assumptions!AB$222)*(Assumptions!$C$52+Assumptions!$C$53))-AB68</f>
        <v>33487.1182988263</v>
      </c>
    </row>
    <row r="82" customFormat="false" ht="15" hidden="false" customHeight="false" outlineLevel="0" collapsed="false">
      <c r="A82" s="28" t="s">
        <v>1167</v>
      </c>
      <c r="B82" s="62"/>
      <c r="C82" s="64" t="n">
        <f aca="false">SUM(E82:P82)</f>
        <v>354150.972099046</v>
      </c>
      <c r="D82" s="64" t="n">
        <f aca="false">SUM(Q82:AB82)</f>
        <v>434350.198635683</v>
      </c>
      <c r="E82" s="65" t="n">
        <f aca="false">E11*(((Assumptions!$D$90*IF(Assumptions!E$206=2027,1+Assumptions!$F$193,1))/12)*(Assumptions!$C$44+Assumptions!$C$46+Assumptions!$C$47+Assumptions!$C$48+Assumptions!$C$49+Assumptions!$C$50+Assumptions!$C$51+Assumptions!$C$54+Assumptions!$C$55)+MIN(((Assumptions!$D$90*IF(Assumptions!E$206=2027,1+Assumptions!$F$193,1))/12),Assumptions!E$222)*Assumptions!$C$45+MIN(((Assumptions!$D$90*IF(Assumptions!E$206=2027,1+Assumptions!$F$193,1))/12),4*Assumptions!E$222)*(Assumptions!$C$52+Assumptions!$C$53))-E69</f>
        <v>28040.2741666667</v>
      </c>
      <c r="F82" s="65" t="n">
        <f aca="false">F11*(((Assumptions!$D$90*IF(Assumptions!F$206=2027,1+Assumptions!$F$193,1))/12)*(Assumptions!$C$44+Assumptions!$C$46+Assumptions!$C$47+Assumptions!$C$48+Assumptions!$C$49+Assumptions!$C$50+Assumptions!$C$51+Assumptions!$C$54+Assumptions!$C$55)+MIN(((Assumptions!$D$90*IF(Assumptions!F$206=2027,1+Assumptions!$F$193,1))/12),Assumptions!F$222)*Assumptions!$C$45+MIN(((Assumptions!$D$90*IF(Assumptions!F$206=2027,1+Assumptions!$F$193,1))/12),4*Assumptions!F$222)*(Assumptions!$C$52+Assumptions!$C$53))-F69</f>
        <v>28040.2741666667</v>
      </c>
      <c r="G82" s="65" t="n">
        <f aca="false">G11*(((Assumptions!$D$90*IF(Assumptions!G$206=2027,1+Assumptions!$F$193,1))/12)*(Assumptions!$C$44+Assumptions!$C$46+Assumptions!$C$47+Assumptions!$C$48+Assumptions!$C$49+Assumptions!$C$50+Assumptions!$C$51+Assumptions!$C$54+Assumptions!$C$55)+MIN(((Assumptions!$D$90*IF(Assumptions!G$206=2027,1+Assumptions!$F$193,1))/12),Assumptions!G$222)*Assumptions!$C$45+MIN(((Assumptions!$D$90*IF(Assumptions!G$206=2027,1+Assumptions!$F$193,1))/12),4*Assumptions!G$222)*(Assumptions!$C$52+Assumptions!$C$53))-G69</f>
        <v>30197.2183333333</v>
      </c>
      <c r="H82" s="65" t="n">
        <f aca="false">H11*(((Assumptions!$D$90*IF(Assumptions!H$206=2027,1+Assumptions!$F$193,1))/12)*(Assumptions!$C$44+Assumptions!$C$46+Assumptions!$C$47+Assumptions!$C$48+Assumptions!$C$49+Assumptions!$C$50+Assumptions!$C$51+Assumptions!$C$54+Assumptions!$C$55)+MIN(((Assumptions!$D$90*IF(Assumptions!H$206=2027,1+Assumptions!$F$193,1))/12),Assumptions!H$222)*Assumptions!$C$45+MIN(((Assumptions!$D$90*IF(Assumptions!H$206=2027,1+Assumptions!$F$193,1))/12),4*Assumptions!H$222)*(Assumptions!$C$52+Assumptions!$C$53))-H69</f>
        <v>30197.2183333333</v>
      </c>
      <c r="I82" s="65" t="n">
        <f aca="false">I11*(((Assumptions!$D$90*IF(Assumptions!I$206=2027,1+Assumptions!$F$193,1))/12)*(Assumptions!$C$44+Assumptions!$C$46+Assumptions!$C$47+Assumptions!$C$48+Assumptions!$C$49+Assumptions!$C$50+Assumptions!$C$51+Assumptions!$C$54+Assumptions!$C$55)+MIN(((Assumptions!$D$90*IF(Assumptions!I$206=2027,1+Assumptions!$F$193,1))/12),Assumptions!I$222)*Assumptions!$C$45+MIN(((Assumptions!$D$90*IF(Assumptions!I$206=2027,1+Assumptions!$F$193,1))/12),4*Assumptions!I$222)*(Assumptions!$C$52+Assumptions!$C$53))-I69</f>
        <v>28040.2741666667</v>
      </c>
      <c r="J82" s="65" t="n">
        <f aca="false">J11*(((Assumptions!$D$90*IF(Assumptions!J$206=2027,1+Assumptions!$F$193,1))/12)*(Assumptions!$C$44+Assumptions!$C$46+Assumptions!$C$47+Assumptions!$C$48+Assumptions!$C$49+Assumptions!$C$50+Assumptions!$C$51+Assumptions!$C$54+Assumptions!$C$55)+MIN(((Assumptions!$D$90*IF(Assumptions!J$206=2027,1+Assumptions!$F$193,1))/12),Assumptions!J$222)*Assumptions!$C$45+MIN(((Assumptions!$D$90*IF(Assumptions!J$206=2027,1+Assumptions!$F$193,1))/12),4*Assumptions!J$222)*(Assumptions!$C$52+Assumptions!$C$53))-J69</f>
        <v>30197.2183333333</v>
      </c>
      <c r="K82" s="65" t="n">
        <f aca="false">K11*(((Assumptions!$D$90*IF(Assumptions!K$206=2027,1+Assumptions!$F$193,1))/12)*(Assumptions!$C$44+Assumptions!$C$46+Assumptions!$C$47+Assumptions!$C$48+Assumptions!$C$49+Assumptions!$C$50+Assumptions!$C$51+Assumptions!$C$54+Assumptions!$C$55)+MIN(((Assumptions!$D$90*IF(Assumptions!K$206=2027,1+Assumptions!$F$193,1))/12),Assumptions!K$222)*Assumptions!$C$45+MIN(((Assumptions!$D$90*IF(Assumptions!K$206=2027,1+Assumptions!$F$193,1))/12),4*Assumptions!K$222)*(Assumptions!$C$52+Assumptions!$C$53))-K69</f>
        <v>30197.2183333333</v>
      </c>
      <c r="L82" s="65" t="n">
        <f aca="false">L11*(((Assumptions!$D$90*IF(Assumptions!L$206=2027,1+Assumptions!$F$193,1))/12)*(Assumptions!$C$44+Assumptions!$C$46+Assumptions!$C$47+Assumptions!$C$48+Assumptions!$C$49+Assumptions!$C$50+Assumptions!$C$51+Assumptions!$C$54+Assumptions!$C$55)+MIN(((Assumptions!$D$90*IF(Assumptions!L$206=2027,1+Assumptions!$F$193,1))/12),Assumptions!L$222)*Assumptions!$C$45+MIN(((Assumptions!$D$90*IF(Assumptions!L$206=2027,1+Assumptions!$F$193,1))/12),4*Assumptions!L$222)*(Assumptions!$C$52+Assumptions!$C$53))-L69</f>
        <v>30197.2183333333</v>
      </c>
      <c r="M82" s="65" t="n">
        <f aca="false">M11*(((Assumptions!$D$90*IF(Assumptions!M$206=2027,1+Assumptions!$F$193,1))/12)*(Assumptions!$C$44+Assumptions!$C$46+Assumptions!$C$47+Assumptions!$C$48+Assumptions!$C$49+Assumptions!$C$50+Assumptions!$C$51+Assumptions!$C$54+Assumptions!$C$55)+MIN(((Assumptions!$D$90*IF(Assumptions!M$206=2027,1+Assumptions!$F$193,1))/12),Assumptions!M$222)*Assumptions!$C$45+MIN(((Assumptions!$D$90*IF(Assumptions!M$206=2027,1+Assumptions!$F$193,1))/12),4*Assumptions!M$222)*(Assumptions!$C$52+Assumptions!$C$53))-M69</f>
        <v>29945.5748472222</v>
      </c>
      <c r="N82" s="65" t="n">
        <f aca="false">N11*(((Assumptions!$D$90*IF(Assumptions!N$206=2027,1+Assumptions!$F$193,1))/12)*(Assumptions!$C$44+Assumptions!$C$46+Assumptions!$C$47+Assumptions!$C$48+Assumptions!$C$49+Assumptions!$C$50+Assumptions!$C$51+Assumptions!$C$54+Assumptions!$C$55)+MIN(((Assumptions!$D$90*IF(Assumptions!N$206=2027,1+Assumptions!$F$193,1))/12),Assumptions!N$222)*Assumptions!$C$45+MIN(((Assumptions!$D$90*IF(Assumptions!N$206=2027,1+Assumptions!$F$193,1))/12),4*Assumptions!N$222)*(Assumptions!$C$52+Assumptions!$C$53))-N69</f>
        <v>29696.028390162</v>
      </c>
      <c r="O82" s="65" t="n">
        <f aca="false">O11*(((Assumptions!$D$90*IF(Assumptions!O$206=2027,1+Assumptions!$F$193,1))/12)*(Assumptions!$C$44+Assumptions!$C$46+Assumptions!$C$47+Assumptions!$C$48+Assumptions!$C$49+Assumptions!$C$50+Assumptions!$C$51+Assumptions!$C$54+Assumptions!$C$55)+MIN(((Assumptions!$D$90*IF(Assumptions!O$206=2027,1+Assumptions!$F$193,1))/12),Assumptions!O$222)*Assumptions!$C$45+MIN(((Assumptions!$D$90*IF(Assumptions!O$206=2027,1+Assumptions!$F$193,1))/12),4*Assumptions!O$222)*(Assumptions!$C$52+Assumptions!$C$53))-O69</f>
        <v>29700.2049730218</v>
      </c>
      <c r="P82" s="65" t="n">
        <f aca="false">P11*(((Assumptions!$D$90*IF(Assumptions!P$206=2027,1+Assumptions!$F$193,1))/12)*(Assumptions!$C$44+Assumptions!$C$46+Assumptions!$C$47+Assumptions!$C$48+Assumptions!$C$49+Assumptions!$C$50+Assumptions!$C$51+Assumptions!$C$54+Assumptions!$C$55)+MIN(((Assumptions!$D$90*IF(Assumptions!P$206=2027,1+Assumptions!$F$193,1))/12),Assumptions!P$222)*Assumptions!$C$45+MIN(((Assumptions!$D$90*IF(Assumptions!P$206=2027,1+Assumptions!$F$193,1))/12),4*Assumptions!P$222)*(Assumptions!$C$52+Assumptions!$C$53))-P69</f>
        <v>29702.2497219735</v>
      </c>
      <c r="Q82" s="65" t="n">
        <f aca="false">Q11*(((Assumptions!$D$90*IF(Assumptions!Q$206=2027,1+Assumptions!$F$193,1))/12)*(Assumptions!$C$44+Assumptions!$C$46+Assumptions!$C$47+Assumptions!$C$48+Assumptions!$C$49+Assumptions!$C$50+Assumptions!$C$51+Assumptions!$C$54+Assumptions!$C$55)+MIN(((Assumptions!$D$90*IF(Assumptions!Q$206=2027,1+Assumptions!$F$193,1))/12),Assumptions!Q$222)*Assumptions!$C$45+MIN(((Assumptions!$D$90*IF(Assumptions!Q$206=2027,1+Assumptions!$F$193,1))/12),4*Assumptions!Q$222)*(Assumptions!$C$52+Assumptions!$C$53))-Q69</f>
        <v>34982.4314333551</v>
      </c>
      <c r="R82" s="65" t="n">
        <f aca="false">R11*(((Assumptions!$D$90*IF(Assumptions!R$206=2027,1+Assumptions!$F$193,1))/12)*(Assumptions!$C$44+Assumptions!$C$46+Assumptions!$C$47+Assumptions!$C$48+Assumptions!$C$49+Assumptions!$C$50+Assumptions!$C$51+Assumptions!$C$54+Assumptions!$C$55)+MIN(((Assumptions!$D$90*IF(Assumptions!R$206=2027,1+Assumptions!$F$193,1))/12),Assumptions!R$222)*Assumptions!$C$45+MIN(((Assumptions!$D$90*IF(Assumptions!R$206=2027,1+Assumptions!$F$193,1))/12),4*Assumptions!R$222)*(Assumptions!$C$52+Assumptions!$C$53))-R69</f>
        <v>34945.4440262447</v>
      </c>
      <c r="S82" s="65" t="n">
        <f aca="false">S11*(((Assumptions!$D$90*IF(Assumptions!S$206=2027,1+Assumptions!$F$193,1))/12)*(Assumptions!$C$44+Assumptions!$C$46+Assumptions!$C$47+Assumptions!$C$48+Assumptions!$C$49+Assumptions!$C$50+Assumptions!$C$51+Assumptions!$C$54+Assumptions!$C$55)+MIN(((Assumptions!$D$90*IF(Assumptions!S$206=2027,1+Assumptions!$F$193,1))/12),Assumptions!S$222)*Assumptions!$C$45+MIN(((Assumptions!$D$90*IF(Assumptions!S$206=2027,1+Assumptions!$F$193,1))/12),4*Assumptions!S$222)*(Assumptions!$C$52+Assumptions!$C$53))-S69</f>
        <v>34908.78237117</v>
      </c>
      <c r="T82" s="65" t="n">
        <f aca="false">T11*(((Assumptions!$D$90*IF(Assumptions!T$206=2027,1+Assumptions!$F$193,1))/12)*(Assumptions!$C$44+Assumptions!$C$46+Assumptions!$C$47+Assumptions!$C$48+Assumptions!$C$49+Assumptions!$C$50+Assumptions!$C$51+Assumptions!$C$54+Assumptions!$C$55)+MIN(((Assumptions!$D$90*IF(Assumptions!T$206=2027,1+Assumptions!$F$193,1))/12),Assumptions!T$222)*Assumptions!$C$45+MIN(((Assumptions!$D$90*IF(Assumptions!T$206=2027,1+Assumptions!$F$193,1))/12),4*Assumptions!T$222)*(Assumptions!$C$52+Assumptions!$C$53))-T69</f>
        <v>34909.3961133549</v>
      </c>
      <c r="U82" s="65" t="n">
        <f aca="false">U11*(((Assumptions!$D$90*IF(Assumptions!U$206=2027,1+Assumptions!$F$193,1))/12)*(Assumptions!$C$44+Assumptions!$C$46+Assumptions!$C$47+Assumptions!$C$48+Assumptions!$C$49+Assumptions!$C$50+Assumptions!$C$51+Assumptions!$C$54+Assumptions!$C$55)+MIN(((Assumptions!$D$90*IF(Assumptions!U$206=2027,1+Assumptions!$F$193,1))/12),Assumptions!U$222)*Assumptions!$C$45+MIN(((Assumptions!$D$90*IF(Assumptions!U$206=2027,1+Assumptions!$F$193,1))/12),4*Assumptions!U$222)*(Assumptions!$C$52+Assumptions!$C$53))-U69</f>
        <v>34909.696512629</v>
      </c>
      <c r="V82" s="65" t="n">
        <f aca="false">V11*(((Assumptions!$D$90*IF(Assumptions!V$206=2027,1+Assumptions!$F$193,1))/12)*(Assumptions!$C$44+Assumptions!$C$46+Assumptions!$C$47+Assumptions!$C$48+Assumptions!$C$49+Assumptions!$C$50+Assumptions!$C$51+Assumptions!$C$54+Assumptions!$C$55)+MIN(((Assumptions!$D$90*IF(Assumptions!V$206=2027,1+Assumptions!$F$193,1))/12),Assumptions!V$222)*Assumptions!$C$45+MIN(((Assumptions!$D$90*IF(Assumptions!V$206=2027,1+Assumptions!$F$193,1))/12),4*Assumptions!V$222)*(Assumptions!$C$52+Assumptions!$C$53))-V69</f>
        <v>37127.9085614501</v>
      </c>
      <c r="W82" s="65" t="n">
        <f aca="false">W11*(((Assumptions!$D$90*IF(Assumptions!W$206=2027,1+Assumptions!$F$193,1))/12)*(Assumptions!$C$44+Assumptions!$C$46+Assumptions!$C$47+Assumptions!$C$48+Assumptions!$C$49+Assumptions!$C$50+Assumptions!$C$51+Assumptions!$C$54+Assumptions!$C$55)+MIN(((Assumptions!$D$90*IF(Assumptions!W$206=2027,1+Assumptions!$F$193,1))/12),Assumptions!W$222)*Assumptions!$C$45+MIN(((Assumptions!$D$90*IF(Assumptions!W$206=2027,1+Assumptions!$F$193,1))/12),4*Assumptions!W$222)*(Assumptions!$C$52+Assumptions!$C$53))-W69</f>
        <v>37109.420957716</v>
      </c>
      <c r="X82" s="65" t="n">
        <f aca="false">X11*(((Assumptions!$D$90*IF(Assumptions!X$206=2027,1+Assumptions!$F$193,1))/12)*(Assumptions!$C$44+Assumptions!$C$46+Assumptions!$C$47+Assumptions!$C$48+Assumptions!$C$49+Assumptions!$C$50+Assumptions!$C$51+Assumptions!$C$54+Assumptions!$C$55)+MIN(((Assumptions!$D$90*IF(Assumptions!X$206=2027,1+Assumptions!$F$193,1))/12),Assumptions!X$222)*Assumptions!$C$45+MIN(((Assumptions!$D$90*IF(Assumptions!X$206=2027,1+Assumptions!$F$193,1))/12),4*Assumptions!X$222)*(Assumptions!$C$52+Assumptions!$C$53))-X69</f>
        <v>37091.0899206736</v>
      </c>
      <c r="Y82" s="65" t="n">
        <f aca="false">Y11*(((Assumptions!$D$90*IF(Assumptions!Y$206=2027,1+Assumptions!$F$193,1))/12)*(Assumptions!$C$44+Assumptions!$C$46+Assumptions!$C$47+Assumptions!$C$48+Assumptions!$C$49+Assumptions!$C$50+Assumptions!$C$51+Assumptions!$C$54+Assumptions!$C$55)+MIN(((Assumptions!$D$90*IF(Assumptions!Y$206=2027,1+Assumptions!$F$193,1))/12),Assumptions!Y$222)*Assumptions!$C$45+MIN(((Assumptions!$D$90*IF(Assumptions!Y$206=2027,1+Assumptions!$F$193,1))/12),4*Assumptions!Y$222)*(Assumptions!$C$52+Assumptions!$C$53))-Y69</f>
        <v>37091.3967426801</v>
      </c>
      <c r="Z82" s="65" t="n">
        <f aca="false">Z11*(((Assumptions!$D$90*IF(Assumptions!Z$206=2027,1+Assumptions!$F$193,1))/12)*(Assumptions!$C$44+Assumptions!$C$46+Assumptions!$C$47+Assumptions!$C$48+Assumptions!$C$49+Assumptions!$C$50+Assumptions!$C$51+Assumptions!$C$54+Assumptions!$C$55)+MIN(((Assumptions!$D$90*IF(Assumptions!Z$206=2027,1+Assumptions!$F$193,1))/12),Assumptions!Z$222)*Assumptions!$C$45+MIN(((Assumptions!$D$90*IF(Assumptions!Z$206=2027,1+Assumptions!$F$193,1))/12),4*Assumptions!Z$222)*(Assumptions!$C$52+Assumptions!$C$53))-Z69</f>
        <v>37091.5469444721</v>
      </c>
      <c r="AA82" s="65" t="n">
        <f aca="false">AA11*(((Assumptions!$D$90*IF(Assumptions!AA$206=2027,1+Assumptions!$F$193,1))/12)*(Assumptions!$C$44+Assumptions!$C$46+Assumptions!$C$47+Assumptions!$C$48+Assumptions!$C$49+Assumptions!$C$50+Assumptions!$C$51+Assumptions!$C$54+Assumptions!$C$55)+MIN(((Assumptions!$D$90*IF(Assumptions!AA$206=2027,1+Assumptions!$F$193,1))/12),Assumptions!AA$222)*Assumptions!$C$45+MIN(((Assumptions!$D$90*IF(Assumptions!AA$206=2027,1+Assumptions!$F$193,1))/12),4*Assumptions!AA$222)*(Assumptions!$C$52+Assumptions!$C$53))-AA69</f>
        <v>37091.5431359404</v>
      </c>
      <c r="AB82" s="65" t="n">
        <f aca="false">AB11*(((Assumptions!$D$90*IF(Assumptions!AB$206=2027,1+Assumptions!$F$193,1))/12)*(Assumptions!$C$44+Assumptions!$C$46+Assumptions!$C$47+Assumptions!$C$48+Assumptions!$C$49+Assumptions!$C$50+Assumptions!$C$51+Assumptions!$C$54+Assumptions!$C$55)+MIN(((Assumptions!$D$90*IF(Assumptions!AB$206=2027,1+Assumptions!$F$193,1))/12),Assumptions!AB$222)*Assumptions!$C$45+MIN(((Assumptions!$D$90*IF(Assumptions!AB$206=2027,1+Assumptions!$F$193,1))/12),4*Assumptions!AB$222)*(Assumptions!$C$52+Assumptions!$C$53))-AB69</f>
        <v>37091.5419159966</v>
      </c>
    </row>
    <row r="83" customFormat="false" ht="15" hidden="false" customHeight="false" outlineLevel="0" collapsed="false">
      <c r="A83" s="28" t="s">
        <v>1168</v>
      </c>
      <c r="B83" s="62"/>
      <c r="C83" s="64" t="n">
        <f aca="false">SUM(E83:P83)</f>
        <v>128353.868741452</v>
      </c>
      <c r="D83" s="64" t="n">
        <f aca="false">SUM(Q83:AB83)</f>
        <v>130544.813725106</v>
      </c>
      <c r="E83" s="65" t="n">
        <f aca="false">E12*(((Assumptions!$D$91*IF(Assumptions!E$206=2027,1+Assumptions!$F$193,1))/12)*(Assumptions!$C$44+Assumptions!$C$46+Assumptions!$C$47+Assumptions!$C$48+Assumptions!$C$49+Assumptions!$C$50+Assumptions!$C$51+Assumptions!$C$54+Assumptions!$C$55)+MIN(((Assumptions!$D$91*IF(Assumptions!E$206=2027,1+Assumptions!$F$193,1))/12),Assumptions!E$222)*Assumptions!$C$45+MIN(((Assumptions!$D$91*IF(Assumptions!E$206=2027,1+Assumptions!$F$193,1))/12),4*Assumptions!E$222)*(Assumptions!$C$52+Assumptions!$C$53))-E70</f>
        <v>10747.9075</v>
      </c>
      <c r="F83" s="65" t="n">
        <f aca="false">F12*(((Assumptions!$D$91*IF(Assumptions!F$206=2027,1+Assumptions!$F$193,1))/12)*(Assumptions!$C$44+Assumptions!$C$46+Assumptions!$C$47+Assumptions!$C$48+Assumptions!$C$49+Assumptions!$C$50+Assumptions!$C$51+Assumptions!$C$54+Assumptions!$C$55)+MIN(((Assumptions!$D$91*IF(Assumptions!F$206=2027,1+Assumptions!$F$193,1))/12),Assumptions!F$222)*Assumptions!$C$45+MIN(((Assumptions!$D$91*IF(Assumptions!F$206=2027,1+Assumptions!$F$193,1))/12),4*Assumptions!F$222)*(Assumptions!$C$52+Assumptions!$C$53))-F70</f>
        <v>10747.9075</v>
      </c>
      <c r="G83" s="65" t="n">
        <f aca="false">G12*(((Assumptions!$D$91*IF(Assumptions!G$206=2027,1+Assumptions!$F$193,1))/12)*(Assumptions!$C$44+Assumptions!$C$46+Assumptions!$C$47+Assumptions!$C$48+Assumptions!$C$49+Assumptions!$C$50+Assumptions!$C$51+Assumptions!$C$54+Assumptions!$C$55)+MIN(((Assumptions!$D$91*IF(Assumptions!G$206=2027,1+Assumptions!$F$193,1))/12),Assumptions!G$222)*Assumptions!$C$45+MIN(((Assumptions!$D$91*IF(Assumptions!G$206=2027,1+Assumptions!$F$193,1))/12),4*Assumptions!G$222)*(Assumptions!$C$52+Assumptions!$C$53))-G70</f>
        <v>10747.9075</v>
      </c>
      <c r="H83" s="65" t="n">
        <f aca="false">H12*(((Assumptions!$D$91*IF(Assumptions!H$206=2027,1+Assumptions!$F$193,1))/12)*(Assumptions!$C$44+Assumptions!$C$46+Assumptions!$C$47+Assumptions!$C$48+Assumptions!$C$49+Assumptions!$C$50+Assumptions!$C$51+Assumptions!$C$54+Assumptions!$C$55)+MIN(((Assumptions!$D$91*IF(Assumptions!H$206=2027,1+Assumptions!$F$193,1))/12),Assumptions!H$222)*Assumptions!$C$45+MIN(((Assumptions!$D$91*IF(Assumptions!H$206=2027,1+Assumptions!$F$193,1))/12),4*Assumptions!H$222)*(Assumptions!$C$52+Assumptions!$C$53))-H70</f>
        <v>10747.9075</v>
      </c>
      <c r="I83" s="65" t="n">
        <f aca="false">I12*(((Assumptions!$D$91*IF(Assumptions!I$206=2027,1+Assumptions!$F$193,1))/12)*(Assumptions!$C$44+Assumptions!$C$46+Assumptions!$C$47+Assumptions!$C$48+Assumptions!$C$49+Assumptions!$C$50+Assumptions!$C$51+Assumptions!$C$54+Assumptions!$C$55)+MIN(((Assumptions!$D$91*IF(Assumptions!I$206=2027,1+Assumptions!$F$193,1))/12),Assumptions!I$222)*Assumptions!$C$45+MIN(((Assumptions!$D$91*IF(Assumptions!I$206=2027,1+Assumptions!$F$193,1))/12),4*Assumptions!I$222)*(Assumptions!$C$52+Assumptions!$C$53))-I70</f>
        <v>10747.9075</v>
      </c>
      <c r="J83" s="65" t="n">
        <f aca="false">J12*(((Assumptions!$D$91*IF(Assumptions!J$206=2027,1+Assumptions!$F$193,1))/12)*(Assumptions!$C$44+Assumptions!$C$46+Assumptions!$C$47+Assumptions!$C$48+Assumptions!$C$49+Assumptions!$C$50+Assumptions!$C$51+Assumptions!$C$54+Assumptions!$C$55)+MIN(((Assumptions!$D$91*IF(Assumptions!J$206=2027,1+Assumptions!$F$193,1))/12),Assumptions!J$222)*Assumptions!$C$45+MIN(((Assumptions!$D$91*IF(Assumptions!J$206=2027,1+Assumptions!$F$193,1))/12),4*Assumptions!J$222)*(Assumptions!$C$52+Assumptions!$C$53))-J70</f>
        <v>10747.9075</v>
      </c>
      <c r="K83" s="65" t="n">
        <f aca="false">K12*(((Assumptions!$D$91*IF(Assumptions!K$206=2027,1+Assumptions!$F$193,1))/12)*(Assumptions!$C$44+Assumptions!$C$46+Assumptions!$C$47+Assumptions!$C$48+Assumptions!$C$49+Assumptions!$C$50+Assumptions!$C$51+Assumptions!$C$54+Assumptions!$C$55)+MIN(((Assumptions!$D$91*IF(Assumptions!K$206=2027,1+Assumptions!$F$193,1))/12),Assumptions!K$222)*Assumptions!$C$45+MIN(((Assumptions!$D$91*IF(Assumptions!K$206=2027,1+Assumptions!$F$193,1))/12),4*Assumptions!K$222)*(Assumptions!$C$52+Assumptions!$C$53))-K70</f>
        <v>10747.9075</v>
      </c>
      <c r="L83" s="65" t="n">
        <f aca="false">L12*(((Assumptions!$D$91*IF(Assumptions!L$206=2027,1+Assumptions!$F$193,1))/12)*(Assumptions!$C$44+Assumptions!$C$46+Assumptions!$C$47+Assumptions!$C$48+Assumptions!$C$49+Assumptions!$C$50+Assumptions!$C$51+Assumptions!$C$54+Assumptions!$C$55)+MIN(((Assumptions!$D$91*IF(Assumptions!L$206=2027,1+Assumptions!$F$193,1))/12),Assumptions!L$222)*Assumptions!$C$45+MIN(((Assumptions!$D$91*IF(Assumptions!L$206=2027,1+Assumptions!$F$193,1))/12),4*Assumptions!L$222)*(Assumptions!$C$52+Assumptions!$C$53))-L70</f>
        <v>10747.9075</v>
      </c>
      <c r="M83" s="65" t="n">
        <f aca="false">M12*(((Assumptions!$D$91*IF(Assumptions!M$206=2027,1+Assumptions!$F$193,1))/12)*(Assumptions!$C$44+Assumptions!$C$46+Assumptions!$C$47+Assumptions!$C$48+Assumptions!$C$49+Assumptions!$C$50+Assumptions!$C$51+Assumptions!$C$54+Assumptions!$C$55)+MIN(((Assumptions!$D$91*IF(Assumptions!M$206=2027,1+Assumptions!$F$193,1))/12),Assumptions!M$222)*Assumptions!$C$45+MIN(((Assumptions!$D$91*IF(Assumptions!M$206=2027,1+Assumptions!$F$193,1))/12),4*Assumptions!M$222)*(Assumptions!$C$52+Assumptions!$C$53))-M70</f>
        <v>10658.3416041667</v>
      </c>
      <c r="N83" s="65" t="n">
        <f aca="false">N12*(((Assumptions!$D$91*IF(Assumptions!N$206=2027,1+Assumptions!$F$193,1))/12)*(Assumptions!$C$44+Assumptions!$C$46+Assumptions!$C$47+Assumptions!$C$48+Assumptions!$C$49+Assumptions!$C$50+Assumptions!$C$51+Assumptions!$C$54+Assumptions!$C$55)+MIN(((Assumptions!$D$91*IF(Assumptions!N$206=2027,1+Assumptions!$F$193,1))/12),Assumptions!N$222)*Assumptions!$C$45+MIN(((Assumptions!$D$91*IF(Assumptions!N$206=2027,1+Assumptions!$F$193,1))/12),4*Assumptions!N$222)*(Assumptions!$C$52+Assumptions!$C$53))-N70</f>
        <v>10569.5220907986</v>
      </c>
      <c r="O83" s="65" t="n">
        <f aca="false">O12*(((Assumptions!$D$91*IF(Assumptions!O$206=2027,1+Assumptions!$F$193,1))/12)*(Assumptions!$C$44+Assumptions!$C$46+Assumptions!$C$47+Assumptions!$C$48+Assumptions!$C$49+Assumptions!$C$50+Assumptions!$C$51+Assumptions!$C$54+Assumptions!$C$55)+MIN(((Assumptions!$D$91*IF(Assumptions!O$206=2027,1+Assumptions!$F$193,1))/12),Assumptions!O$222)*Assumptions!$C$45+MIN(((Assumptions!$D$91*IF(Assumptions!O$206=2027,1+Assumptions!$F$193,1))/12),4*Assumptions!O$222)*(Assumptions!$C$52+Assumptions!$C$53))-O70</f>
        <v>10571.0086358753</v>
      </c>
      <c r="P83" s="65" t="n">
        <f aca="false">P12*(((Assumptions!$D$91*IF(Assumptions!P$206=2027,1+Assumptions!$F$193,1))/12)*(Assumptions!$C$44+Assumptions!$C$46+Assumptions!$C$47+Assumptions!$C$48+Assumptions!$C$49+Assumptions!$C$50+Assumptions!$C$51+Assumptions!$C$54+Assumptions!$C$55)+MIN(((Assumptions!$D$91*IF(Assumptions!P$206=2027,1+Assumptions!$F$193,1))/12),Assumptions!P$222)*Assumptions!$C$45+MIN(((Assumptions!$D$91*IF(Assumptions!P$206=2027,1+Assumptions!$F$193,1))/12),4*Assumptions!P$222)*(Assumptions!$C$52+Assumptions!$C$53))-P70</f>
        <v>10571.736410611</v>
      </c>
      <c r="Q83" s="65" t="n">
        <f aca="false">Q12*(((Assumptions!$D$91*IF(Assumptions!Q$206=2027,1+Assumptions!$F$193,1))/12)*(Assumptions!$C$44+Assumptions!$C$46+Assumptions!$C$47+Assumptions!$C$48+Assumptions!$C$49+Assumptions!$C$50+Assumptions!$C$51+Assumptions!$C$54+Assumptions!$C$55)+MIN(((Assumptions!$D$91*IF(Assumptions!Q$206=2027,1+Assumptions!$F$193,1))/12),Assumptions!Q$222)*Assumptions!$C$45+MIN(((Assumptions!$D$91*IF(Assumptions!Q$206=2027,1+Assumptions!$F$193,1))/12),4*Assumptions!Q$222)*(Assumptions!$C$52+Assumptions!$C$53))-Q70</f>
        <v>10878.7398437173</v>
      </c>
      <c r="R83" s="65" t="n">
        <f aca="false">R12*(((Assumptions!$D$91*IF(Assumptions!R$206=2027,1+Assumptions!$F$193,1))/12)*(Assumptions!$C$44+Assumptions!$C$46+Assumptions!$C$47+Assumptions!$C$48+Assumptions!$C$49+Assumptions!$C$50+Assumptions!$C$51+Assumptions!$C$54+Assumptions!$C$55)+MIN(((Assumptions!$D$91*IF(Assumptions!R$206=2027,1+Assumptions!$F$193,1))/12),Assumptions!R$222)*Assumptions!$C$45+MIN(((Assumptions!$D$91*IF(Assumptions!R$206=2027,1+Assumptions!$F$193,1))/12),4*Assumptions!R$222)*(Assumptions!$C$52+Assumptions!$C$53))-R70</f>
        <v>10878.7337610333</v>
      </c>
      <c r="S83" s="65" t="n">
        <f aca="false">S12*(((Assumptions!$D$91*IF(Assumptions!S$206=2027,1+Assumptions!$F$193,1))/12)*(Assumptions!$C$44+Assumptions!$C$46+Assumptions!$C$47+Assumptions!$C$48+Assumptions!$C$49+Assumptions!$C$50+Assumptions!$C$51+Assumptions!$C$54+Assumptions!$C$55)+MIN(((Assumptions!$D$91*IF(Assumptions!S$206=2027,1+Assumptions!$F$193,1))/12),Assumptions!S$222)*Assumptions!$C$45+MIN(((Assumptions!$D$91*IF(Assumptions!S$206=2027,1+Assumptions!$F$193,1))/12),4*Assumptions!S$222)*(Assumptions!$C$52+Assumptions!$C$53))-S70</f>
        <v>10878.7339699604</v>
      </c>
      <c r="T83" s="65" t="n">
        <f aca="false">T12*(((Assumptions!$D$91*IF(Assumptions!T$206=2027,1+Assumptions!$F$193,1))/12)*(Assumptions!$C$44+Assumptions!$C$46+Assumptions!$C$47+Assumptions!$C$48+Assumptions!$C$49+Assumptions!$C$50+Assumptions!$C$51+Assumptions!$C$54+Assumptions!$C$55)+MIN(((Assumptions!$D$91*IF(Assumptions!T$206=2027,1+Assumptions!$F$193,1))/12),Assumptions!T$222)*Assumptions!$C$45+MIN(((Assumptions!$D$91*IF(Assumptions!T$206=2027,1+Assumptions!$F$193,1))/12),4*Assumptions!T$222)*(Assumptions!$C$52+Assumptions!$C$53))-T70</f>
        <v>10878.7340189084</v>
      </c>
      <c r="U83" s="65" t="n">
        <f aca="false">U12*(((Assumptions!$D$91*IF(Assumptions!U$206=2027,1+Assumptions!$F$193,1))/12)*(Assumptions!$C$44+Assumptions!$C$46+Assumptions!$C$47+Assumptions!$C$48+Assumptions!$C$49+Assumptions!$C$50+Assumptions!$C$51+Assumptions!$C$54+Assumptions!$C$55)+MIN(((Assumptions!$D$91*IF(Assumptions!U$206=2027,1+Assumptions!$F$193,1))/12),Assumptions!U$222)*Assumptions!$C$45+MIN(((Assumptions!$D$91*IF(Assumptions!U$206=2027,1+Assumptions!$F$193,1))/12),4*Assumptions!U$222)*(Assumptions!$C$52+Assumptions!$C$53))-U70</f>
        <v>10878.7340167594</v>
      </c>
      <c r="V83" s="65" t="n">
        <f aca="false">V12*(((Assumptions!$D$91*IF(Assumptions!V$206=2027,1+Assumptions!$F$193,1))/12)*(Assumptions!$C$44+Assumptions!$C$46+Assumptions!$C$47+Assumptions!$C$48+Assumptions!$C$49+Assumptions!$C$50+Assumptions!$C$51+Assumptions!$C$54+Assumptions!$C$55)+MIN(((Assumptions!$D$91*IF(Assumptions!V$206=2027,1+Assumptions!$F$193,1))/12),Assumptions!V$222)*Assumptions!$C$45+MIN(((Assumptions!$D$91*IF(Assumptions!V$206=2027,1+Assumptions!$F$193,1))/12),4*Assumptions!V$222)*(Assumptions!$C$52+Assumptions!$C$53))-V70</f>
        <v>10878.7340163694</v>
      </c>
      <c r="W83" s="65" t="n">
        <f aca="false">W12*(((Assumptions!$D$91*IF(Assumptions!W$206=2027,1+Assumptions!$F$193,1))/12)*(Assumptions!$C$44+Assumptions!$C$46+Assumptions!$C$47+Assumptions!$C$48+Assumptions!$C$49+Assumptions!$C$50+Assumptions!$C$51+Assumptions!$C$54+Assumptions!$C$55)+MIN(((Assumptions!$D$91*IF(Assumptions!W$206=2027,1+Assumptions!$F$193,1))/12),Assumptions!W$222)*Assumptions!$C$45+MIN(((Assumptions!$D$91*IF(Assumptions!W$206=2027,1+Assumptions!$F$193,1))/12),4*Assumptions!W$222)*(Assumptions!$C$52+Assumptions!$C$53))-W70</f>
        <v>10878.7340163906</v>
      </c>
      <c r="X83" s="65" t="n">
        <f aca="false">X12*(((Assumptions!$D$91*IF(Assumptions!X$206=2027,1+Assumptions!$F$193,1))/12)*(Assumptions!$C$44+Assumptions!$C$46+Assumptions!$C$47+Assumptions!$C$48+Assumptions!$C$49+Assumptions!$C$50+Assumptions!$C$51+Assumptions!$C$54+Assumptions!$C$55)+MIN(((Assumptions!$D$91*IF(Assumptions!X$206=2027,1+Assumptions!$F$193,1))/12),Assumptions!X$222)*Assumptions!$C$45+MIN(((Assumptions!$D$91*IF(Assumptions!X$206=2027,1+Assumptions!$F$193,1))/12),4*Assumptions!X$222)*(Assumptions!$C$52+Assumptions!$C$53))-X70</f>
        <v>10878.7340163937</v>
      </c>
      <c r="Y83" s="65" t="n">
        <f aca="false">Y12*(((Assumptions!$D$91*IF(Assumptions!Y$206=2027,1+Assumptions!$F$193,1))/12)*(Assumptions!$C$44+Assumptions!$C$46+Assumptions!$C$47+Assumptions!$C$48+Assumptions!$C$49+Assumptions!$C$50+Assumptions!$C$51+Assumptions!$C$54+Assumptions!$C$55)+MIN(((Assumptions!$D$91*IF(Assumptions!Y$206=2027,1+Assumptions!$F$193,1))/12),Assumptions!Y$222)*Assumptions!$C$45+MIN(((Assumptions!$D$91*IF(Assumptions!Y$206=2027,1+Assumptions!$F$193,1))/12),4*Assumptions!Y$222)*(Assumptions!$C$52+Assumptions!$C$53))-Y70</f>
        <v>10878.7340163935</v>
      </c>
      <c r="Z83" s="65" t="n">
        <f aca="false">Z12*(((Assumptions!$D$91*IF(Assumptions!Z$206=2027,1+Assumptions!$F$193,1))/12)*(Assumptions!$C$44+Assumptions!$C$46+Assumptions!$C$47+Assumptions!$C$48+Assumptions!$C$49+Assumptions!$C$50+Assumptions!$C$51+Assumptions!$C$54+Assumptions!$C$55)+MIN(((Assumptions!$D$91*IF(Assumptions!Z$206=2027,1+Assumptions!$F$193,1))/12),Assumptions!Z$222)*Assumptions!$C$45+MIN(((Assumptions!$D$91*IF(Assumptions!Z$206=2027,1+Assumptions!$F$193,1))/12),4*Assumptions!Z$222)*(Assumptions!$C$52+Assumptions!$C$53))-Z70</f>
        <v>10878.7340163934</v>
      </c>
      <c r="AA83" s="65" t="n">
        <f aca="false">AA12*(((Assumptions!$D$91*IF(Assumptions!AA$206=2027,1+Assumptions!$F$193,1))/12)*(Assumptions!$C$44+Assumptions!$C$46+Assumptions!$C$47+Assumptions!$C$48+Assumptions!$C$49+Assumptions!$C$50+Assumptions!$C$51+Assumptions!$C$54+Assumptions!$C$55)+MIN(((Assumptions!$D$91*IF(Assumptions!AA$206=2027,1+Assumptions!$F$193,1))/12),Assumptions!AA$222)*Assumptions!$C$45+MIN(((Assumptions!$D$91*IF(Assumptions!AA$206=2027,1+Assumptions!$F$193,1))/12),4*Assumptions!AA$222)*(Assumptions!$C$52+Assumptions!$C$53))-AA70</f>
        <v>10878.7340163934</v>
      </c>
      <c r="AB83" s="65" t="n">
        <f aca="false">AB12*(((Assumptions!$D$91*IF(Assumptions!AB$206=2027,1+Assumptions!$F$193,1))/12)*(Assumptions!$C$44+Assumptions!$C$46+Assumptions!$C$47+Assumptions!$C$48+Assumptions!$C$49+Assumptions!$C$50+Assumptions!$C$51+Assumptions!$C$54+Assumptions!$C$55)+MIN(((Assumptions!$D$91*IF(Assumptions!AB$206=2027,1+Assumptions!$F$193,1))/12),Assumptions!AB$222)*Assumptions!$C$45+MIN(((Assumptions!$D$91*IF(Assumptions!AB$206=2027,1+Assumptions!$F$193,1))/12),4*Assumptions!AB$222)*(Assumptions!$C$52+Assumptions!$C$53))-AB70</f>
        <v>10878.7340163934</v>
      </c>
    </row>
    <row r="84" customFormat="false" ht="15" hidden="false" customHeight="false" outlineLevel="0" collapsed="false">
      <c r="A84" s="28" t="s">
        <v>1169</v>
      </c>
      <c r="B84" s="62"/>
      <c r="C84" s="64" t="n">
        <f aca="false">SUM(E84:P84)</f>
        <v>158266.948716906</v>
      </c>
      <c r="D84" s="64" t="n">
        <f aca="false">SUM(Q84:AB84)</f>
        <v>160875.270025951</v>
      </c>
      <c r="E84" s="65" t="n">
        <f aca="false">E13*(((Assumptions!$D$92*IF(Assumptions!E$206=2027,1+Assumptions!$F$193,1))/12)*(Assumptions!$C$44+Assumptions!$C$46+Assumptions!$C$47+Assumptions!$C$48+Assumptions!$C$49+Assumptions!$C$50+Assumptions!$C$51+Assumptions!$C$54+Assumptions!$C$55)+MIN(((Assumptions!$D$92*IF(Assumptions!E$206=2027,1+Assumptions!$F$193,1))/12),Assumptions!E$222)*Assumptions!$C$45+MIN(((Assumptions!$D$92*IF(Assumptions!E$206=2027,1+Assumptions!$F$193,1))/12),4*Assumptions!E$222)*(Assumptions!$C$52+Assumptions!$C$53))-E71</f>
        <v>13252.725</v>
      </c>
      <c r="F84" s="65" t="n">
        <f aca="false">F13*(((Assumptions!$D$92*IF(Assumptions!F$206=2027,1+Assumptions!$F$193,1))/12)*(Assumptions!$C$44+Assumptions!$C$46+Assumptions!$C$47+Assumptions!$C$48+Assumptions!$C$49+Assumptions!$C$50+Assumptions!$C$51+Assumptions!$C$54+Assumptions!$C$55)+MIN(((Assumptions!$D$92*IF(Assumptions!F$206=2027,1+Assumptions!$F$193,1))/12),Assumptions!F$222)*Assumptions!$C$45+MIN(((Assumptions!$D$92*IF(Assumptions!F$206=2027,1+Assumptions!$F$193,1))/12),4*Assumptions!F$222)*(Assumptions!$C$52+Assumptions!$C$53))-F71</f>
        <v>13252.725</v>
      </c>
      <c r="G84" s="65" t="n">
        <f aca="false">G13*(((Assumptions!$D$92*IF(Assumptions!G$206=2027,1+Assumptions!$F$193,1))/12)*(Assumptions!$C$44+Assumptions!$C$46+Assumptions!$C$47+Assumptions!$C$48+Assumptions!$C$49+Assumptions!$C$50+Assumptions!$C$51+Assumptions!$C$54+Assumptions!$C$55)+MIN(((Assumptions!$D$92*IF(Assumptions!G$206=2027,1+Assumptions!$F$193,1))/12),Assumptions!G$222)*Assumptions!$C$45+MIN(((Assumptions!$D$92*IF(Assumptions!G$206=2027,1+Assumptions!$F$193,1))/12),4*Assumptions!G$222)*(Assumptions!$C$52+Assumptions!$C$53))-G71</f>
        <v>13252.725</v>
      </c>
      <c r="H84" s="65" t="n">
        <f aca="false">H13*(((Assumptions!$D$92*IF(Assumptions!H$206=2027,1+Assumptions!$F$193,1))/12)*(Assumptions!$C$44+Assumptions!$C$46+Assumptions!$C$47+Assumptions!$C$48+Assumptions!$C$49+Assumptions!$C$50+Assumptions!$C$51+Assumptions!$C$54+Assumptions!$C$55)+MIN(((Assumptions!$D$92*IF(Assumptions!H$206=2027,1+Assumptions!$F$193,1))/12),Assumptions!H$222)*Assumptions!$C$45+MIN(((Assumptions!$D$92*IF(Assumptions!H$206=2027,1+Assumptions!$F$193,1))/12),4*Assumptions!H$222)*(Assumptions!$C$52+Assumptions!$C$53))-H71</f>
        <v>13252.725</v>
      </c>
      <c r="I84" s="65" t="n">
        <f aca="false">I13*(((Assumptions!$D$92*IF(Assumptions!I$206=2027,1+Assumptions!$F$193,1))/12)*(Assumptions!$C$44+Assumptions!$C$46+Assumptions!$C$47+Assumptions!$C$48+Assumptions!$C$49+Assumptions!$C$50+Assumptions!$C$51+Assumptions!$C$54+Assumptions!$C$55)+MIN(((Assumptions!$D$92*IF(Assumptions!I$206=2027,1+Assumptions!$F$193,1))/12),Assumptions!I$222)*Assumptions!$C$45+MIN(((Assumptions!$D$92*IF(Assumptions!I$206=2027,1+Assumptions!$F$193,1))/12),4*Assumptions!I$222)*(Assumptions!$C$52+Assumptions!$C$53))-I71</f>
        <v>13252.725</v>
      </c>
      <c r="J84" s="65" t="n">
        <f aca="false">J13*(((Assumptions!$D$92*IF(Assumptions!J$206=2027,1+Assumptions!$F$193,1))/12)*(Assumptions!$C$44+Assumptions!$C$46+Assumptions!$C$47+Assumptions!$C$48+Assumptions!$C$49+Assumptions!$C$50+Assumptions!$C$51+Assumptions!$C$54+Assumptions!$C$55)+MIN(((Assumptions!$D$92*IF(Assumptions!J$206=2027,1+Assumptions!$F$193,1))/12),Assumptions!J$222)*Assumptions!$C$45+MIN(((Assumptions!$D$92*IF(Assumptions!J$206=2027,1+Assumptions!$F$193,1))/12),4*Assumptions!J$222)*(Assumptions!$C$52+Assumptions!$C$53))-J71</f>
        <v>13252.725</v>
      </c>
      <c r="K84" s="65" t="n">
        <f aca="false">K13*(((Assumptions!$D$92*IF(Assumptions!K$206=2027,1+Assumptions!$F$193,1))/12)*(Assumptions!$C$44+Assumptions!$C$46+Assumptions!$C$47+Assumptions!$C$48+Assumptions!$C$49+Assumptions!$C$50+Assumptions!$C$51+Assumptions!$C$54+Assumptions!$C$55)+MIN(((Assumptions!$D$92*IF(Assumptions!K$206=2027,1+Assumptions!$F$193,1))/12),Assumptions!K$222)*Assumptions!$C$45+MIN(((Assumptions!$D$92*IF(Assumptions!K$206=2027,1+Assumptions!$F$193,1))/12),4*Assumptions!K$222)*(Assumptions!$C$52+Assumptions!$C$53))-K71</f>
        <v>13252.725</v>
      </c>
      <c r="L84" s="65" t="n">
        <f aca="false">L13*(((Assumptions!$D$92*IF(Assumptions!L$206=2027,1+Assumptions!$F$193,1))/12)*(Assumptions!$C$44+Assumptions!$C$46+Assumptions!$C$47+Assumptions!$C$48+Assumptions!$C$49+Assumptions!$C$50+Assumptions!$C$51+Assumptions!$C$54+Assumptions!$C$55)+MIN(((Assumptions!$D$92*IF(Assumptions!L$206=2027,1+Assumptions!$F$193,1))/12),Assumptions!L$222)*Assumptions!$C$45+MIN(((Assumptions!$D$92*IF(Assumptions!L$206=2027,1+Assumptions!$F$193,1))/12),4*Assumptions!L$222)*(Assumptions!$C$52+Assumptions!$C$53))-L71</f>
        <v>13252.725</v>
      </c>
      <c r="M84" s="65" t="n">
        <f aca="false">M13*(((Assumptions!$D$92*IF(Assumptions!M$206=2027,1+Assumptions!$F$193,1))/12)*(Assumptions!$C$44+Assumptions!$C$46+Assumptions!$C$47+Assumptions!$C$48+Assumptions!$C$49+Assumptions!$C$50+Assumptions!$C$51+Assumptions!$C$54+Assumptions!$C$55)+MIN(((Assumptions!$D$92*IF(Assumptions!M$206=2027,1+Assumptions!$F$193,1))/12),Assumptions!M$222)*Assumptions!$C$45+MIN(((Assumptions!$D$92*IF(Assumptions!M$206=2027,1+Assumptions!$F$193,1))/12),4*Assumptions!M$222)*(Assumptions!$C$52+Assumptions!$C$53))-M71</f>
        <v>13142.285625</v>
      </c>
      <c r="N84" s="65" t="n">
        <f aca="false">N13*(((Assumptions!$D$92*IF(Assumptions!N$206=2027,1+Assumptions!$F$193,1))/12)*(Assumptions!$C$44+Assumptions!$C$46+Assumptions!$C$47+Assumptions!$C$48+Assumptions!$C$49+Assumptions!$C$50+Assumptions!$C$51+Assumptions!$C$54+Assumptions!$C$55)+MIN(((Assumptions!$D$92*IF(Assumptions!N$206=2027,1+Assumptions!$F$193,1))/12),Assumptions!N$222)*Assumptions!$C$45+MIN(((Assumptions!$D$92*IF(Assumptions!N$206=2027,1+Assumptions!$F$193,1))/12),4*Assumptions!N$222)*(Assumptions!$C$52+Assumptions!$C$53))-N71</f>
        <v>13032.766578125</v>
      </c>
      <c r="O84" s="65" t="n">
        <f aca="false">O13*(((Assumptions!$D$92*IF(Assumptions!O$206=2027,1+Assumptions!$F$193,1))/12)*(Assumptions!$C$44+Assumptions!$C$46+Assumptions!$C$47+Assumptions!$C$48+Assumptions!$C$49+Assumptions!$C$50+Assumptions!$C$51+Assumptions!$C$54+Assumptions!$C$55)+MIN(((Assumptions!$D$92*IF(Assumptions!O$206=2027,1+Assumptions!$F$193,1))/12),Assumptions!O$222)*Assumptions!$C$45+MIN(((Assumptions!$D$92*IF(Assumptions!O$206=2027,1+Assumptions!$F$193,1))/12),4*Assumptions!O$222)*(Assumptions!$C$52+Assumptions!$C$53))-O71</f>
        <v>13034.599564974</v>
      </c>
      <c r="P84" s="65" t="n">
        <f aca="false">P13*(((Assumptions!$D$92*IF(Assumptions!P$206=2027,1+Assumptions!$F$193,1))/12)*(Assumptions!$C$44+Assumptions!$C$46+Assumptions!$C$47+Assumptions!$C$48+Assumptions!$C$49+Assumptions!$C$50+Assumptions!$C$51+Assumptions!$C$54+Assumptions!$C$55)+MIN(((Assumptions!$D$92*IF(Assumptions!P$206=2027,1+Assumptions!$F$193,1))/12),Assumptions!P$222)*Assumptions!$C$45+MIN(((Assumptions!$D$92*IF(Assumptions!P$206=2027,1+Assumptions!$F$193,1))/12),4*Assumptions!P$222)*(Assumptions!$C$52+Assumptions!$C$53))-P71</f>
        <v>13035.4969488075</v>
      </c>
      <c r="Q84" s="65" t="n">
        <f aca="false">Q13*(((Assumptions!$D$92*IF(Assumptions!Q$206=2027,1+Assumptions!$F$193,1))/12)*(Assumptions!$C$44+Assumptions!$C$46+Assumptions!$C$47+Assumptions!$C$48+Assumptions!$C$49+Assumptions!$C$50+Assumptions!$C$51+Assumptions!$C$54+Assumptions!$C$55)+MIN(((Assumptions!$D$92*IF(Assumptions!Q$206=2027,1+Assumptions!$F$193,1))/12),Assumptions!Q$222)*Assumptions!$C$45+MIN(((Assumptions!$D$92*IF(Assumptions!Q$206=2027,1+Assumptions!$F$193,1))/12),4*Assumptions!Q$222)*(Assumptions!$C$52+Assumptions!$C$53))-Q71</f>
        <v>13406.2791156559</v>
      </c>
      <c r="R84" s="65" t="n">
        <f aca="false">R13*(((Assumptions!$D$92*IF(Assumptions!R$206=2027,1+Assumptions!$F$193,1))/12)*(Assumptions!$C$44+Assumptions!$C$46+Assumptions!$C$47+Assumptions!$C$48+Assumptions!$C$49+Assumptions!$C$50+Assumptions!$C$51+Assumptions!$C$54+Assumptions!$C$55)+MIN(((Assumptions!$D$92*IF(Assumptions!R$206=2027,1+Assumptions!$F$193,1))/12),Assumptions!R$222)*Assumptions!$C$45+MIN(((Assumptions!$D$92*IF(Assumptions!R$206=2027,1+Assumptions!$F$193,1))/12),4*Assumptions!R$222)*(Assumptions!$C$52+Assumptions!$C$53))-R71</f>
        <v>13406.2716197364</v>
      </c>
      <c r="S84" s="65" t="n">
        <f aca="false">S13*(((Assumptions!$D$92*IF(Assumptions!S$206=2027,1+Assumptions!$F$193,1))/12)*(Assumptions!$C$44+Assumptions!$C$46+Assumptions!$C$47+Assumptions!$C$48+Assumptions!$C$49+Assumptions!$C$50+Assumptions!$C$51+Assumptions!$C$54+Assumptions!$C$55)+MIN(((Assumptions!$D$92*IF(Assumptions!S$206=2027,1+Assumptions!$F$193,1))/12),Assumptions!S$222)*Assumptions!$C$45+MIN(((Assumptions!$D$92*IF(Assumptions!S$206=2027,1+Assumptions!$F$193,1))/12),4*Assumptions!S$222)*(Assumptions!$C$52+Assumptions!$C$53))-S71</f>
        <v>13406.2718772051</v>
      </c>
      <c r="T84" s="65" t="n">
        <f aca="false">T13*(((Assumptions!$D$92*IF(Assumptions!T$206=2027,1+Assumptions!$F$193,1))/12)*(Assumptions!$C$44+Assumptions!$C$46+Assumptions!$C$47+Assumptions!$C$48+Assumptions!$C$49+Assumptions!$C$50+Assumptions!$C$51+Assumptions!$C$54+Assumptions!$C$55)+MIN(((Assumptions!$D$92*IF(Assumptions!T$206=2027,1+Assumptions!$F$193,1))/12),Assumptions!T$222)*Assumptions!$C$45+MIN(((Assumptions!$D$92*IF(Assumptions!T$206=2027,1+Assumptions!$F$193,1))/12),4*Assumptions!T$222)*(Assumptions!$C$52+Assumptions!$C$53))-T71</f>
        <v>13406.2719375255</v>
      </c>
      <c r="U84" s="65" t="n">
        <f aca="false">U13*(((Assumptions!$D$92*IF(Assumptions!U$206=2027,1+Assumptions!$F$193,1))/12)*(Assumptions!$C$44+Assumptions!$C$46+Assumptions!$C$47+Assumptions!$C$48+Assumptions!$C$49+Assumptions!$C$50+Assumptions!$C$51+Assumptions!$C$54+Assumptions!$C$55)+MIN(((Assumptions!$D$92*IF(Assumptions!U$206=2027,1+Assumptions!$F$193,1))/12),Assumptions!U$222)*Assumptions!$C$45+MIN(((Assumptions!$D$92*IF(Assumptions!U$206=2027,1+Assumptions!$F$193,1))/12),4*Assumptions!U$222)*(Assumptions!$C$52+Assumptions!$C$53))-U71</f>
        <v>13406.2719348772</v>
      </c>
      <c r="V84" s="65" t="n">
        <f aca="false">V13*(((Assumptions!$D$92*IF(Assumptions!V$206=2027,1+Assumptions!$F$193,1))/12)*(Assumptions!$C$44+Assumptions!$C$46+Assumptions!$C$47+Assumptions!$C$48+Assumptions!$C$49+Assumptions!$C$50+Assumptions!$C$51+Assumptions!$C$54+Assumptions!$C$55)+MIN(((Assumptions!$D$92*IF(Assumptions!V$206=2027,1+Assumptions!$F$193,1))/12),Assumptions!V$222)*Assumptions!$C$45+MIN(((Assumptions!$D$92*IF(Assumptions!V$206=2027,1+Assumptions!$F$193,1))/12),4*Assumptions!V$222)*(Assumptions!$C$52+Assumptions!$C$53))-V71</f>
        <v>13406.2719343966</v>
      </c>
      <c r="W84" s="65" t="n">
        <f aca="false">W13*(((Assumptions!$D$92*IF(Assumptions!W$206=2027,1+Assumptions!$F$193,1))/12)*(Assumptions!$C$44+Assumptions!$C$46+Assumptions!$C$47+Assumptions!$C$48+Assumptions!$C$49+Assumptions!$C$50+Assumptions!$C$51+Assumptions!$C$54+Assumptions!$C$55)+MIN(((Assumptions!$D$92*IF(Assumptions!W$206=2027,1+Assumptions!$F$193,1))/12),Assumptions!W$222)*Assumptions!$C$45+MIN(((Assumptions!$D$92*IF(Assumptions!W$206=2027,1+Assumptions!$F$193,1))/12),4*Assumptions!W$222)*(Assumptions!$C$52+Assumptions!$C$53))-W71</f>
        <v>13406.2719344227</v>
      </c>
      <c r="X84" s="65" t="n">
        <f aca="false">X13*(((Assumptions!$D$92*IF(Assumptions!X$206=2027,1+Assumptions!$F$193,1))/12)*(Assumptions!$C$44+Assumptions!$C$46+Assumptions!$C$47+Assumptions!$C$48+Assumptions!$C$49+Assumptions!$C$50+Assumptions!$C$51+Assumptions!$C$54+Assumptions!$C$55)+MIN(((Assumptions!$D$92*IF(Assumptions!X$206=2027,1+Assumptions!$F$193,1))/12),Assumptions!X$222)*Assumptions!$C$45+MIN(((Assumptions!$D$92*IF(Assumptions!X$206=2027,1+Assumptions!$F$193,1))/12),4*Assumptions!X$222)*(Assumptions!$C$52+Assumptions!$C$53))-X71</f>
        <v>13406.2719344265</v>
      </c>
      <c r="Y84" s="65" t="n">
        <f aca="false">Y13*(((Assumptions!$D$92*IF(Assumptions!Y$206=2027,1+Assumptions!$F$193,1))/12)*(Assumptions!$C$44+Assumptions!$C$46+Assumptions!$C$47+Assumptions!$C$48+Assumptions!$C$49+Assumptions!$C$50+Assumptions!$C$51+Assumptions!$C$54+Assumptions!$C$55)+MIN(((Assumptions!$D$92*IF(Assumptions!Y$206=2027,1+Assumptions!$F$193,1))/12),Assumptions!Y$222)*Assumptions!$C$45+MIN(((Assumptions!$D$92*IF(Assumptions!Y$206=2027,1+Assumptions!$F$193,1))/12),4*Assumptions!Y$222)*(Assumptions!$C$52+Assumptions!$C$53))-Y71</f>
        <v>13406.2719344263</v>
      </c>
      <c r="Z84" s="65" t="n">
        <f aca="false">Z13*(((Assumptions!$D$92*IF(Assumptions!Z$206=2027,1+Assumptions!$F$193,1))/12)*(Assumptions!$C$44+Assumptions!$C$46+Assumptions!$C$47+Assumptions!$C$48+Assumptions!$C$49+Assumptions!$C$50+Assumptions!$C$51+Assumptions!$C$54+Assumptions!$C$55)+MIN(((Assumptions!$D$92*IF(Assumptions!Z$206=2027,1+Assumptions!$F$193,1))/12),Assumptions!Z$222)*Assumptions!$C$45+MIN(((Assumptions!$D$92*IF(Assumptions!Z$206=2027,1+Assumptions!$F$193,1))/12),4*Assumptions!Z$222)*(Assumptions!$C$52+Assumptions!$C$53))-Z71</f>
        <v>13406.2719344262</v>
      </c>
      <c r="AA84" s="65" t="n">
        <f aca="false">AA13*(((Assumptions!$D$92*IF(Assumptions!AA$206=2027,1+Assumptions!$F$193,1))/12)*(Assumptions!$C$44+Assumptions!$C$46+Assumptions!$C$47+Assumptions!$C$48+Assumptions!$C$49+Assumptions!$C$50+Assumptions!$C$51+Assumptions!$C$54+Assumptions!$C$55)+MIN(((Assumptions!$D$92*IF(Assumptions!AA$206=2027,1+Assumptions!$F$193,1))/12),Assumptions!AA$222)*Assumptions!$C$45+MIN(((Assumptions!$D$92*IF(Assumptions!AA$206=2027,1+Assumptions!$F$193,1))/12),4*Assumptions!AA$222)*(Assumptions!$C$52+Assumptions!$C$53))-AA71</f>
        <v>13406.2719344262</v>
      </c>
      <c r="AB84" s="65" t="n">
        <f aca="false">AB13*(((Assumptions!$D$92*IF(Assumptions!AB$206=2027,1+Assumptions!$F$193,1))/12)*(Assumptions!$C$44+Assumptions!$C$46+Assumptions!$C$47+Assumptions!$C$48+Assumptions!$C$49+Assumptions!$C$50+Assumptions!$C$51+Assumptions!$C$54+Assumptions!$C$55)+MIN(((Assumptions!$D$92*IF(Assumptions!AB$206=2027,1+Assumptions!$F$193,1))/12),Assumptions!AB$222)*Assumptions!$C$45+MIN(((Assumptions!$D$92*IF(Assumptions!AB$206=2027,1+Assumptions!$F$193,1))/12),4*Assumptions!AB$222)*(Assumptions!$C$52+Assumptions!$C$53))-AB71</f>
        <v>13406.2719344262</v>
      </c>
    </row>
    <row r="85" customFormat="false" ht="15" hidden="false" customHeight="false" outlineLevel="0" collapsed="false">
      <c r="A85" s="28" t="s">
        <v>1170</v>
      </c>
      <c r="B85" s="62"/>
      <c r="C85" s="64" t="n">
        <f aca="false">SUM(E85:P85)</f>
        <v>130783.413905931</v>
      </c>
      <c r="D85" s="64" t="n">
        <f aca="false">SUM(Q85:AB85)</f>
        <v>163403.059841382</v>
      </c>
      <c r="E85" s="65" t="n">
        <f aca="false">E14*(((Assumptions!$D$93*IF(Assumptions!E$206=2027,1+Assumptions!$F$193,1))/12)*(Assumptions!$C$44+Assumptions!$C$46+Assumptions!$C$47+Assumptions!$C$48+Assumptions!$C$49+Assumptions!$C$50+Assumptions!$C$51+Assumptions!$C$54+Assumptions!$C$55)+MIN(((Assumptions!$D$93*IF(Assumptions!E$206=2027,1+Assumptions!$F$193,1))/12),Assumptions!E$222)*Assumptions!$C$45+MIN(((Assumptions!$D$93*IF(Assumptions!E$206=2027,1+Assumptions!$F$193,1))/12),4*Assumptions!E$222)*(Assumptions!$C$52+Assumptions!$C$53))-E72</f>
        <v>9338.55617201509</v>
      </c>
      <c r="F85" s="65" t="n">
        <f aca="false">F14*(((Assumptions!$D$93*IF(Assumptions!F$206=2027,1+Assumptions!$F$193,1))/12)*(Assumptions!$C$44+Assumptions!$C$46+Assumptions!$C$47+Assumptions!$C$48+Assumptions!$C$49+Assumptions!$C$50+Assumptions!$C$51+Assumptions!$C$54+Assumptions!$C$55)+MIN(((Assumptions!$D$93*IF(Assumptions!F$206=2027,1+Assumptions!$F$193,1))/12),Assumptions!F$222)*Assumptions!$C$45+MIN(((Assumptions!$D$93*IF(Assumptions!F$206=2027,1+Assumptions!$F$193,1))/12),4*Assumptions!F$222)*(Assumptions!$C$52+Assumptions!$C$53))-F72</f>
        <v>9338.55617201509</v>
      </c>
      <c r="G85" s="65" t="n">
        <f aca="false">G14*(((Assumptions!$D$93*IF(Assumptions!G$206=2027,1+Assumptions!$F$193,1))/12)*(Assumptions!$C$44+Assumptions!$C$46+Assumptions!$C$47+Assumptions!$C$48+Assumptions!$C$49+Assumptions!$C$50+Assumptions!$C$51+Assumptions!$C$54+Assumptions!$C$55)+MIN(((Assumptions!$D$93*IF(Assumptions!G$206=2027,1+Assumptions!$F$193,1))/12),Assumptions!G$222)*Assumptions!$C$45+MIN(((Assumptions!$D$93*IF(Assumptions!G$206=2027,1+Assumptions!$F$193,1))/12),4*Assumptions!G$222)*(Assumptions!$C$52+Assumptions!$C$53))-G72</f>
        <v>10894.9822006843</v>
      </c>
      <c r="H85" s="65" t="n">
        <f aca="false">H14*(((Assumptions!$D$93*IF(Assumptions!H$206=2027,1+Assumptions!$F$193,1))/12)*(Assumptions!$C$44+Assumptions!$C$46+Assumptions!$C$47+Assumptions!$C$48+Assumptions!$C$49+Assumptions!$C$50+Assumptions!$C$51+Assumptions!$C$54+Assumptions!$C$55)+MIN(((Assumptions!$D$93*IF(Assumptions!H$206=2027,1+Assumptions!$F$193,1))/12),Assumptions!H$222)*Assumptions!$C$45+MIN(((Assumptions!$D$93*IF(Assumptions!H$206=2027,1+Assumptions!$F$193,1))/12),4*Assumptions!H$222)*(Assumptions!$C$52+Assumptions!$C$53))-H72</f>
        <v>10894.9822006843</v>
      </c>
      <c r="I85" s="65" t="n">
        <f aca="false">I14*(((Assumptions!$D$93*IF(Assumptions!I$206=2027,1+Assumptions!$F$193,1))/12)*(Assumptions!$C$44+Assumptions!$C$46+Assumptions!$C$47+Assumptions!$C$48+Assumptions!$C$49+Assumptions!$C$50+Assumptions!$C$51+Assumptions!$C$54+Assumptions!$C$55)+MIN(((Assumptions!$D$93*IF(Assumptions!I$206=2027,1+Assumptions!$F$193,1))/12),Assumptions!I$222)*Assumptions!$C$45+MIN(((Assumptions!$D$93*IF(Assumptions!I$206=2027,1+Assumptions!$F$193,1))/12),4*Assumptions!I$222)*(Assumptions!$C$52+Assumptions!$C$53))-I72</f>
        <v>10894.9822006843</v>
      </c>
      <c r="J85" s="65" t="n">
        <f aca="false">J14*(((Assumptions!$D$93*IF(Assumptions!J$206=2027,1+Assumptions!$F$193,1))/12)*(Assumptions!$C$44+Assumptions!$C$46+Assumptions!$C$47+Assumptions!$C$48+Assumptions!$C$49+Assumptions!$C$50+Assumptions!$C$51+Assumptions!$C$54+Assumptions!$C$55)+MIN(((Assumptions!$D$93*IF(Assumptions!J$206=2027,1+Assumptions!$F$193,1))/12),Assumptions!J$222)*Assumptions!$C$45+MIN(((Assumptions!$D$93*IF(Assumptions!J$206=2027,1+Assumptions!$F$193,1))/12),4*Assumptions!J$222)*(Assumptions!$C$52+Assumptions!$C$53))-J72</f>
        <v>10824.8065124245</v>
      </c>
      <c r="K85" s="65" t="n">
        <f aca="false">K14*(((Assumptions!$D$93*IF(Assumptions!K$206=2027,1+Assumptions!$F$193,1))/12)*(Assumptions!$C$44+Assumptions!$C$46+Assumptions!$C$47+Assumptions!$C$48+Assumptions!$C$49+Assumptions!$C$50+Assumptions!$C$51+Assumptions!$C$54+Assumptions!$C$55)+MIN(((Assumptions!$D$93*IF(Assumptions!K$206=2027,1+Assumptions!$F$193,1))/12),Assumptions!K$222)*Assumptions!$C$45+MIN(((Assumptions!$D$93*IF(Assumptions!K$206=2027,1+Assumptions!$F$193,1))/12),4*Assumptions!K$222)*(Assumptions!$C$52+Assumptions!$C$53))-K72</f>
        <v>10824.8065124245</v>
      </c>
      <c r="L85" s="65" t="n">
        <f aca="false">L14*(((Assumptions!$D$93*IF(Assumptions!L$206=2027,1+Assumptions!$F$193,1))/12)*(Assumptions!$C$44+Assumptions!$C$46+Assumptions!$C$47+Assumptions!$C$48+Assumptions!$C$49+Assumptions!$C$50+Assumptions!$C$51+Assumptions!$C$54+Assumptions!$C$55)+MIN(((Assumptions!$D$93*IF(Assumptions!L$206=2027,1+Assumptions!$F$193,1))/12),Assumptions!L$222)*Assumptions!$C$45+MIN(((Assumptions!$D$93*IF(Assumptions!L$206=2027,1+Assumptions!$F$193,1))/12),4*Assumptions!L$222)*(Assumptions!$C$52+Assumptions!$C$53))-L72</f>
        <v>10824.8065124245</v>
      </c>
      <c r="M85" s="65" t="n">
        <f aca="false">M14*(((Assumptions!$D$93*IF(Assumptions!M$206=2027,1+Assumptions!$F$193,1))/12)*(Assumptions!$C$44+Assumptions!$C$46+Assumptions!$C$47+Assumptions!$C$48+Assumptions!$C$49+Assumptions!$C$50+Assumptions!$C$51+Assumptions!$C$54+Assumptions!$C$55)+MIN(((Assumptions!$D$93*IF(Assumptions!M$206=2027,1+Assumptions!$F$193,1))/12),Assumptions!M$222)*Assumptions!$C$45+MIN(((Assumptions!$D$93*IF(Assumptions!M$206=2027,1+Assumptions!$F$193,1))/12),4*Assumptions!M$222)*(Assumptions!$C$52+Assumptions!$C$53))-M72</f>
        <v>10689.4964310192</v>
      </c>
      <c r="N85" s="65" t="n">
        <f aca="false">N14*(((Assumptions!$D$93*IF(Assumptions!N$206=2027,1+Assumptions!$F$193,1))/12)*(Assumptions!$C$44+Assumptions!$C$46+Assumptions!$C$47+Assumptions!$C$48+Assumptions!$C$49+Assumptions!$C$50+Assumptions!$C$51+Assumptions!$C$54+Assumptions!$C$55)+MIN(((Assumptions!$D$93*IF(Assumptions!N$206=2027,1+Assumptions!$F$193,1))/12),Assumptions!N$222)*Assumptions!$C$45+MIN(((Assumptions!$D$93*IF(Assumptions!N$206=2027,1+Assumptions!$F$193,1))/12),4*Assumptions!N$222)*(Assumptions!$C$52+Assumptions!$C$53))-N72</f>
        <v>12102.2786559778</v>
      </c>
      <c r="O85" s="65" t="n">
        <f aca="false">O14*(((Assumptions!$D$93*IF(Assumptions!O$206=2027,1+Assumptions!$F$193,1))/12)*(Assumptions!$C$44+Assumptions!$C$46+Assumptions!$C$47+Assumptions!$C$48+Assumptions!$C$49+Assumptions!$C$50+Assumptions!$C$51+Assumptions!$C$54+Assumptions!$C$55)+MIN(((Assumptions!$D$93*IF(Assumptions!O$206=2027,1+Assumptions!$F$193,1))/12),Assumptions!O$222)*Assumptions!$C$45+MIN(((Assumptions!$D$93*IF(Assumptions!O$206=2027,1+Assumptions!$F$193,1))/12),4*Assumptions!O$222)*(Assumptions!$C$52+Assumptions!$C$53))-O72</f>
        <v>12086.3102541834</v>
      </c>
      <c r="P85" s="65" t="n">
        <f aca="false">P14*(((Assumptions!$D$93*IF(Assumptions!P$206=2027,1+Assumptions!$F$193,1))/12)*(Assumptions!$C$44+Assumptions!$C$46+Assumptions!$C$47+Assumptions!$C$48+Assumptions!$C$49+Assumptions!$C$50+Assumptions!$C$51+Assumptions!$C$54+Assumptions!$C$55)+MIN(((Assumptions!$D$93*IF(Assumptions!P$206=2027,1+Assumptions!$F$193,1))/12),Assumptions!P$222)*Assumptions!$C$45+MIN(((Assumptions!$D$93*IF(Assumptions!P$206=2027,1+Assumptions!$F$193,1))/12),4*Assumptions!P$222)*(Assumptions!$C$52+Assumptions!$C$53))-P72</f>
        <v>12068.8500813938</v>
      </c>
      <c r="Q85" s="65" t="n">
        <f aca="false">Q14*(((Assumptions!$D$93*IF(Assumptions!Q$206=2027,1+Assumptions!$F$193,1))/12)*(Assumptions!$C$44+Assumptions!$C$46+Assumptions!$C$47+Assumptions!$C$48+Assumptions!$C$49+Assumptions!$C$50+Assumptions!$C$51+Assumptions!$C$54+Assumptions!$C$55)+MIN(((Assumptions!$D$93*IF(Assumptions!Q$206=2027,1+Assumptions!$F$193,1))/12),Assumptions!Q$222)*Assumptions!$C$45+MIN(((Assumptions!$D$93*IF(Assumptions!Q$206=2027,1+Assumptions!$F$193,1))/12),4*Assumptions!Q$222)*(Assumptions!$C$52+Assumptions!$C$53))-Q72</f>
        <v>12445.2264438106</v>
      </c>
      <c r="R85" s="65" t="n">
        <f aca="false">R14*(((Assumptions!$D$93*IF(Assumptions!R$206=2027,1+Assumptions!$F$193,1))/12)*(Assumptions!$C$44+Assumptions!$C$46+Assumptions!$C$47+Assumptions!$C$48+Assumptions!$C$49+Assumptions!$C$50+Assumptions!$C$51+Assumptions!$C$54+Assumptions!$C$55)+MIN(((Assumptions!$D$93*IF(Assumptions!R$206=2027,1+Assumptions!$F$193,1))/12),Assumptions!R$222)*Assumptions!$C$45+MIN(((Assumptions!$D$93*IF(Assumptions!R$206=2027,1+Assumptions!$F$193,1))/12),4*Assumptions!R$222)*(Assumptions!$C$52+Assumptions!$C$53))-R72</f>
        <v>12445.4461086216</v>
      </c>
      <c r="S85" s="65" t="n">
        <f aca="false">S14*(((Assumptions!$D$93*IF(Assumptions!S$206=2027,1+Assumptions!$F$193,1))/12)*(Assumptions!$C$44+Assumptions!$C$46+Assumptions!$C$47+Assumptions!$C$48+Assumptions!$C$49+Assumptions!$C$50+Assumptions!$C$51+Assumptions!$C$54+Assumptions!$C$55)+MIN(((Assumptions!$D$93*IF(Assumptions!S$206=2027,1+Assumptions!$F$193,1))/12),Assumptions!S$222)*Assumptions!$C$45+MIN(((Assumptions!$D$93*IF(Assumptions!S$206=2027,1+Assumptions!$F$193,1))/12),4*Assumptions!S$222)*(Assumptions!$C$52+Assumptions!$C$53))-S72</f>
        <v>12445.4379768932</v>
      </c>
      <c r="T85" s="65" t="n">
        <f aca="false">T14*(((Assumptions!$D$93*IF(Assumptions!T$206=2027,1+Assumptions!$F$193,1))/12)*(Assumptions!$C$44+Assumptions!$C$46+Assumptions!$C$47+Assumptions!$C$48+Assumptions!$C$49+Assumptions!$C$50+Assumptions!$C$51+Assumptions!$C$54+Assumptions!$C$55)+MIN(((Assumptions!$D$93*IF(Assumptions!T$206=2027,1+Assumptions!$F$193,1))/12),Assumptions!T$222)*Assumptions!$C$45+MIN(((Assumptions!$D$93*IF(Assumptions!T$206=2027,1+Assumptions!$F$193,1))/12),4*Assumptions!T$222)*(Assumptions!$C$52+Assumptions!$C$53))-T72</f>
        <v>14040.0067557045</v>
      </c>
      <c r="U85" s="65" t="n">
        <f aca="false">U14*(((Assumptions!$D$93*IF(Assumptions!U$206=2027,1+Assumptions!$F$193,1))/12)*(Assumptions!$C$44+Assumptions!$C$46+Assumptions!$C$47+Assumptions!$C$48+Assumptions!$C$49+Assumptions!$C$50+Assumptions!$C$51+Assumptions!$C$54+Assumptions!$C$55)+MIN(((Assumptions!$D$93*IF(Assumptions!U$206=2027,1+Assumptions!$F$193,1))/12),Assumptions!U$222)*Assumptions!$C$45+MIN(((Assumptions!$D$93*IF(Assumptions!U$206=2027,1+Assumptions!$F$193,1))/12),4*Assumptions!U$222)*(Assumptions!$C$52+Assumptions!$C$53))-U72</f>
        <v>14020.074747616</v>
      </c>
      <c r="V85" s="65" t="n">
        <f aca="false">V14*(((Assumptions!$D$93*IF(Assumptions!V$206=2027,1+Assumptions!$F$193,1))/12)*(Assumptions!$C$44+Assumptions!$C$46+Assumptions!$C$47+Assumptions!$C$48+Assumptions!$C$49+Assumptions!$C$50+Assumptions!$C$51+Assumptions!$C$54+Assumptions!$C$55)+MIN(((Assumptions!$D$93*IF(Assumptions!V$206=2027,1+Assumptions!$F$193,1))/12),Assumptions!V$222)*Assumptions!$C$45+MIN(((Assumptions!$D$93*IF(Assumptions!V$206=2027,1+Assumptions!$F$193,1))/12),4*Assumptions!V$222)*(Assumptions!$C$52+Assumptions!$C$53))-V72</f>
        <v>14000.3917879819</v>
      </c>
      <c r="W85" s="65" t="n">
        <f aca="false">W14*(((Assumptions!$D$93*IF(Assumptions!W$206=2027,1+Assumptions!$F$193,1))/12)*(Assumptions!$C$44+Assumptions!$C$46+Assumptions!$C$47+Assumptions!$C$48+Assumptions!$C$49+Assumptions!$C$50+Assumptions!$C$51+Assumptions!$C$54+Assumptions!$C$55)+MIN(((Assumptions!$D$93*IF(Assumptions!W$206=2027,1+Assumptions!$F$193,1))/12),Assumptions!W$222)*Assumptions!$C$45+MIN(((Assumptions!$D$93*IF(Assumptions!W$206=2027,1+Assumptions!$F$193,1))/12),4*Assumptions!W$222)*(Assumptions!$C$52+Assumptions!$C$53))-W72</f>
        <v>14000.8869750785</v>
      </c>
      <c r="X85" s="65" t="n">
        <f aca="false">X14*(((Assumptions!$D$93*IF(Assumptions!X$206=2027,1+Assumptions!$F$193,1))/12)*(Assumptions!$C$44+Assumptions!$C$46+Assumptions!$C$47+Assumptions!$C$48+Assumptions!$C$49+Assumptions!$C$50+Assumptions!$C$51+Assumptions!$C$54+Assumptions!$C$55)+MIN(((Assumptions!$D$93*IF(Assumptions!X$206=2027,1+Assumptions!$F$193,1))/12),Assumptions!X$222)*Assumptions!$C$45+MIN(((Assumptions!$D$93*IF(Assumptions!X$206=2027,1+Assumptions!$F$193,1))/12),4*Assumptions!X$222)*(Assumptions!$C$52+Assumptions!$C$53))-X72</f>
        <v>14001.1268222352</v>
      </c>
      <c r="Y85" s="65" t="n">
        <f aca="false">Y14*(((Assumptions!$D$93*IF(Assumptions!Y$206=2027,1+Assumptions!$F$193,1))/12)*(Assumptions!$C$44+Assumptions!$C$46+Assumptions!$C$47+Assumptions!$C$48+Assumptions!$C$49+Assumptions!$C$50+Assumptions!$C$51+Assumptions!$C$54+Assumptions!$C$55)+MIN(((Assumptions!$D$93*IF(Assumptions!Y$206=2027,1+Assumptions!$F$193,1))/12),Assumptions!Y$222)*Assumptions!$C$45+MIN(((Assumptions!$D$93*IF(Assumptions!Y$206=2027,1+Assumptions!$F$193,1))/12),4*Assumptions!Y$222)*(Assumptions!$C$52+Assumptions!$C$53))-Y72</f>
        <v>14001.117634307</v>
      </c>
      <c r="Z85" s="65" t="n">
        <f aca="false">Z14*(((Assumptions!$D$93*IF(Assumptions!Z$206=2027,1+Assumptions!$F$193,1))/12)*(Assumptions!$C$44+Assumptions!$C$46+Assumptions!$C$47+Assumptions!$C$48+Assumptions!$C$49+Assumptions!$C$50+Assumptions!$C$51+Assumptions!$C$54+Assumptions!$C$55)+MIN(((Assumptions!$D$93*IF(Assumptions!Z$206=2027,1+Assumptions!$F$193,1))/12),Assumptions!Z$222)*Assumptions!$C$45+MIN(((Assumptions!$D$93*IF(Assumptions!Z$206=2027,1+Assumptions!$F$193,1))/12),4*Assumptions!Z$222)*(Assumptions!$C$52+Assumptions!$C$53))-Z72</f>
        <v>14001.1147510667</v>
      </c>
      <c r="AA85" s="65" t="n">
        <f aca="false">AA14*(((Assumptions!$D$93*IF(Assumptions!AA$206=2027,1+Assumptions!$F$193,1))/12)*(Assumptions!$C$44+Assumptions!$C$46+Assumptions!$C$47+Assumptions!$C$48+Assumptions!$C$49+Assumptions!$C$50+Assumptions!$C$51+Assumptions!$C$54+Assumptions!$C$55)+MIN(((Assumptions!$D$93*IF(Assumptions!AA$206=2027,1+Assumptions!$F$193,1))/12),Assumptions!AA$222)*Assumptions!$C$45+MIN(((Assumptions!$D$93*IF(Assumptions!AA$206=2027,1+Assumptions!$F$193,1))/12),4*Assumptions!AA$222)*(Assumptions!$C$52+Assumptions!$C$53))-AA72</f>
        <v>14001.1149019563</v>
      </c>
      <c r="AB85" s="65" t="n">
        <f aca="false">AB14*(((Assumptions!$D$93*IF(Assumptions!AB$206=2027,1+Assumptions!$F$193,1))/12)*(Assumptions!$C$44+Assumptions!$C$46+Assumptions!$C$47+Assumptions!$C$48+Assumptions!$C$49+Assumptions!$C$50+Assumptions!$C$51+Assumptions!$C$54+Assumptions!$C$55)+MIN(((Assumptions!$D$93*IF(Assumptions!AB$206=2027,1+Assumptions!$F$193,1))/12),Assumptions!AB$222)*Assumptions!$C$45+MIN(((Assumptions!$D$93*IF(Assumptions!AB$206=2027,1+Assumptions!$F$193,1))/12),4*Assumptions!AB$222)*(Assumptions!$C$52+Assumptions!$C$53))-AB72</f>
        <v>14001.1149361107</v>
      </c>
    </row>
    <row r="86" customFormat="false" ht="15" hidden="false" customHeight="false" outlineLevel="0" collapsed="false">
      <c r="A86" s="28" t="s">
        <v>1171</v>
      </c>
      <c r="B86" s="62"/>
      <c r="C86" s="64" t="n">
        <f aca="false">SUM(E86:P86)</f>
        <v>92896.639386166</v>
      </c>
      <c r="D86" s="64" t="n">
        <f aca="false">SUM(Q86:AB86)</f>
        <v>120843.256108468</v>
      </c>
      <c r="E86" s="65" t="n">
        <f aca="false">E15*(((Assumptions!$D$94*IF(Assumptions!E$206=2027,1+Assumptions!$F$193,1))/12)*(Assumptions!$C$44+Assumptions!$C$46+Assumptions!$C$47+Assumptions!$C$48+Assumptions!$C$49+Assumptions!$C$50+Assumptions!$C$51+Assumptions!$C$54+Assumptions!$C$55)+MIN(((Assumptions!$D$94*IF(Assumptions!E$206=2027,1+Assumptions!$F$193,1))/12),Assumptions!E$222)*Assumptions!$C$45+MIN(((Assumptions!$D$94*IF(Assumptions!E$206=2027,1+Assumptions!$F$193,1))/12),4*Assumptions!E$222)*(Assumptions!$C$52+Assumptions!$C$53))-E73</f>
        <v>6705.46885753428</v>
      </c>
      <c r="F86" s="65" t="n">
        <f aca="false">F15*(((Assumptions!$D$94*IF(Assumptions!F$206=2027,1+Assumptions!$F$193,1))/12)*(Assumptions!$C$44+Assumptions!$C$46+Assumptions!$C$47+Assumptions!$C$48+Assumptions!$C$49+Assumptions!$C$50+Assumptions!$C$51+Assumptions!$C$54+Assumptions!$C$55)+MIN(((Assumptions!$D$94*IF(Assumptions!F$206=2027,1+Assumptions!$F$193,1))/12),Assumptions!F$222)*Assumptions!$C$45+MIN(((Assumptions!$D$94*IF(Assumptions!F$206=2027,1+Assumptions!$F$193,1))/12),4*Assumptions!F$222)*(Assumptions!$C$52+Assumptions!$C$53))-F73</f>
        <v>6705.46885753428</v>
      </c>
      <c r="G86" s="65" t="n">
        <f aca="false">G15*(((Assumptions!$D$94*IF(Assumptions!G$206=2027,1+Assumptions!$F$193,1))/12)*(Assumptions!$C$44+Assumptions!$C$46+Assumptions!$C$47+Assumptions!$C$48+Assumptions!$C$49+Assumptions!$C$50+Assumptions!$C$51+Assumptions!$C$54+Assumptions!$C$55)+MIN(((Assumptions!$D$94*IF(Assumptions!G$206=2027,1+Assumptions!$F$193,1))/12),Assumptions!G$222)*Assumptions!$C$45+MIN(((Assumptions!$D$94*IF(Assumptions!G$206=2027,1+Assumptions!$F$193,1))/12),4*Assumptions!G$222)*(Assumptions!$C$52+Assumptions!$C$53))-G73</f>
        <v>6705.46885753428</v>
      </c>
      <c r="H86" s="65" t="n">
        <f aca="false">H15*(((Assumptions!$D$94*IF(Assumptions!H$206=2027,1+Assumptions!$F$193,1))/12)*(Assumptions!$C$44+Assumptions!$C$46+Assumptions!$C$47+Assumptions!$C$48+Assumptions!$C$49+Assumptions!$C$50+Assumptions!$C$51+Assumptions!$C$54+Assumptions!$C$55)+MIN(((Assumptions!$D$94*IF(Assumptions!H$206=2027,1+Assumptions!$F$193,1))/12),Assumptions!H$222)*Assumptions!$C$45+MIN(((Assumptions!$D$94*IF(Assumptions!H$206=2027,1+Assumptions!$F$193,1))/12),4*Assumptions!H$222)*(Assumptions!$C$52+Assumptions!$C$53))-H73</f>
        <v>6705.46885753428</v>
      </c>
      <c r="I86" s="65" t="n">
        <f aca="false">I15*(((Assumptions!$D$94*IF(Assumptions!I$206=2027,1+Assumptions!$F$193,1))/12)*(Assumptions!$C$44+Assumptions!$C$46+Assumptions!$C$47+Assumptions!$C$48+Assumptions!$C$49+Assumptions!$C$50+Assumptions!$C$51+Assumptions!$C$54+Assumptions!$C$55)+MIN(((Assumptions!$D$94*IF(Assumptions!I$206=2027,1+Assumptions!$F$193,1))/12),Assumptions!I$222)*Assumptions!$C$45+MIN(((Assumptions!$D$94*IF(Assumptions!I$206=2027,1+Assumptions!$F$193,1))/12),4*Assumptions!I$222)*(Assumptions!$C$52+Assumptions!$C$53))-I73</f>
        <v>8381.83607191785</v>
      </c>
      <c r="J86" s="65" t="n">
        <f aca="false">J15*(((Assumptions!$D$94*IF(Assumptions!J$206=2027,1+Assumptions!$F$193,1))/12)*(Assumptions!$C$44+Assumptions!$C$46+Assumptions!$C$47+Assumptions!$C$48+Assumptions!$C$49+Assumptions!$C$50+Assumptions!$C$51+Assumptions!$C$54+Assumptions!$C$55)+MIN(((Assumptions!$D$94*IF(Assumptions!J$206=2027,1+Assumptions!$F$193,1))/12),Assumptions!J$222)*Assumptions!$C$45+MIN(((Assumptions!$D$94*IF(Assumptions!J$206=2027,1+Assumptions!$F$193,1))/12),4*Assumptions!J$222)*(Assumptions!$C$52+Assumptions!$C$53))-J73</f>
        <v>8344.67679209805</v>
      </c>
      <c r="K86" s="65" t="n">
        <f aca="false">K15*(((Assumptions!$D$94*IF(Assumptions!K$206=2027,1+Assumptions!$F$193,1))/12)*(Assumptions!$C$44+Assumptions!$C$46+Assumptions!$C$47+Assumptions!$C$48+Assumptions!$C$49+Assumptions!$C$50+Assumptions!$C$51+Assumptions!$C$54+Assumptions!$C$55)+MIN(((Assumptions!$D$94*IF(Assumptions!K$206=2027,1+Assumptions!$F$193,1))/12),Assumptions!K$222)*Assumptions!$C$45+MIN(((Assumptions!$D$94*IF(Assumptions!K$206=2027,1+Assumptions!$F$193,1))/12),4*Assumptions!K$222)*(Assumptions!$C$52+Assumptions!$C$53))-K73</f>
        <v>8344.67679209805</v>
      </c>
      <c r="L86" s="65" t="n">
        <f aca="false">L15*(((Assumptions!$D$94*IF(Assumptions!L$206=2027,1+Assumptions!$F$193,1))/12)*(Assumptions!$C$44+Assumptions!$C$46+Assumptions!$C$47+Assumptions!$C$48+Assumptions!$C$49+Assumptions!$C$50+Assumptions!$C$51+Assumptions!$C$54+Assumptions!$C$55)+MIN(((Assumptions!$D$94*IF(Assumptions!L$206=2027,1+Assumptions!$F$193,1))/12),Assumptions!L$222)*Assumptions!$C$45+MIN(((Assumptions!$D$94*IF(Assumptions!L$206=2027,1+Assumptions!$F$193,1))/12),4*Assumptions!L$222)*(Assumptions!$C$52+Assumptions!$C$53))-L73</f>
        <v>8344.67679209805</v>
      </c>
      <c r="M86" s="65" t="n">
        <f aca="false">M15*(((Assumptions!$D$94*IF(Assumptions!M$206=2027,1+Assumptions!$F$193,1))/12)*(Assumptions!$C$44+Assumptions!$C$46+Assumptions!$C$47+Assumptions!$C$48+Assumptions!$C$49+Assumptions!$C$50+Assumptions!$C$51+Assumptions!$C$54+Assumptions!$C$55)+MIN(((Assumptions!$D$94*IF(Assumptions!M$206=2027,1+Assumptions!$F$193,1))/12),Assumptions!M$222)*Assumptions!$C$45+MIN(((Assumptions!$D$94*IF(Assumptions!M$206=2027,1+Assumptions!$F$193,1))/12),4*Assumptions!M$222)*(Assumptions!$C$52+Assumptions!$C$53))-M73</f>
        <v>8240.36833219682</v>
      </c>
      <c r="N86" s="65" t="n">
        <f aca="false">N15*(((Assumptions!$D$94*IF(Assumptions!N$206=2027,1+Assumptions!$F$193,1))/12)*(Assumptions!$C$44+Assumptions!$C$46+Assumptions!$C$47+Assumptions!$C$48+Assumptions!$C$49+Assumptions!$C$50+Assumptions!$C$51+Assumptions!$C$54+Assumptions!$C$55)+MIN(((Assumptions!$D$94*IF(Assumptions!N$206=2027,1+Assumptions!$F$193,1))/12),Assumptions!N$222)*Assumptions!$C$45+MIN(((Assumptions!$D$94*IF(Assumptions!N$206=2027,1+Assumptions!$F$193,1))/12),4*Assumptions!N$222)*(Assumptions!$C$52+Assumptions!$C$53))-N73</f>
        <v>8137.36372804436</v>
      </c>
      <c r="O86" s="65" t="n">
        <f aca="false">O15*(((Assumptions!$D$94*IF(Assumptions!O$206=2027,1+Assumptions!$F$193,1))/12)*(Assumptions!$C$44+Assumptions!$C$46+Assumptions!$C$47+Assumptions!$C$48+Assumptions!$C$49+Assumptions!$C$50+Assumptions!$C$51+Assumptions!$C$54+Assumptions!$C$55)+MIN(((Assumptions!$D$94*IF(Assumptions!O$206=2027,1+Assumptions!$F$193,1))/12),Assumptions!O$222)*Assumptions!$C$45+MIN(((Assumptions!$D$94*IF(Assumptions!O$206=2027,1+Assumptions!$F$193,1))/12),4*Assumptions!O$222)*(Assumptions!$C$52+Assumptions!$C$53))-O73</f>
        <v>8139.95514134503</v>
      </c>
      <c r="P86" s="65" t="n">
        <f aca="false">P15*(((Assumptions!$D$94*IF(Assumptions!P$206=2027,1+Assumptions!$F$193,1))/12)*(Assumptions!$C$44+Assumptions!$C$46+Assumptions!$C$47+Assumptions!$C$48+Assumptions!$C$49+Assumptions!$C$50+Assumptions!$C$51+Assumptions!$C$54+Assumptions!$C$55)+MIN(((Assumptions!$D$94*IF(Assumptions!P$206=2027,1+Assumptions!$F$193,1))/12),Assumptions!P$222)*Assumptions!$C$45+MIN(((Assumptions!$D$94*IF(Assumptions!P$206=2027,1+Assumptions!$F$193,1))/12),4*Assumptions!P$222)*(Assumptions!$C$52+Assumptions!$C$53))-P73</f>
        <v>8141.21030623068</v>
      </c>
      <c r="Q86" s="65" t="n">
        <f aca="false">Q15*(((Assumptions!$D$94*IF(Assumptions!Q$206=2027,1+Assumptions!$F$193,1))/12)*(Assumptions!$C$44+Assumptions!$C$46+Assumptions!$C$47+Assumptions!$C$48+Assumptions!$C$49+Assumptions!$C$50+Assumptions!$C$51+Assumptions!$C$54+Assumptions!$C$55)+MIN(((Assumptions!$D$94*IF(Assumptions!Q$206=2027,1+Assumptions!$F$193,1))/12),Assumptions!Q$222)*Assumptions!$C$45+MIN(((Assumptions!$D$94*IF(Assumptions!Q$206=2027,1+Assumptions!$F$193,1))/12),4*Assumptions!Q$222)*(Assumptions!$C$52+Assumptions!$C$53))-Q73</f>
        <v>10107.1085264709</v>
      </c>
      <c r="R86" s="65" t="n">
        <f aca="false">R15*(((Assumptions!$D$94*IF(Assumptions!R$206=2027,1+Assumptions!$F$193,1))/12)*(Assumptions!$C$44+Assumptions!$C$46+Assumptions!$C$47+Assumptions!$C$48+Assumptions!$C$49+Assumptions!$C$50+Assumptions!$C$51+Assumptions!$C$54+Assumptions!$C$55)+MIN(((Assumptions!$D$94*IF(Assumptions!R$206=2027,1+Assumptions!$F$193,1))/12),Assumptions!R$222)*Assumptions!$C$45+MIN(((Assumptions!$D$94*IF(Assumptions!R$206=2027,1+Assumptions!$F$193,1))/12),4*Assumptions!R$222)*(Assumptions!$C$52+Assumptions!$C$53))-R73</f>
        <v>10085.5996796363</v>
      </c>
      <c r="S86" s="65" t="n">
        <f aca="false">S15*(((Assumptions!$D$94*IF(Assumptions!S$206=2027,1+Assumptions!$F$193,1))/12)*(Assumptions!$C$44+Assumptions!$C$46+Assumptions!$C$47+Assumptions!$C$48+Assumptions!$C$49+Assumptions!$C$50+Assumptions!$C$51+Assumptions!$C$54+Assumptions!$C$55)+MIN(((Assumptions!$D$94*IF(Assumptions!S$206=2027,1+Assumptions!$F$193,1))/12),Assumptions!S$222)*Assumptions!$C$45+MIN(((Assumptions!$D$94*IF(Assumptions!S$206=2027,1+Assumptions!$F$193,1))/12),4*Assumptions!S$222)*(Assumptions!$C$52+Assumptions!$C$53))-S73</f>
        <v>10064.375857966</v>
      </c>
      <c r="T86" s="65" t="n">
        <f aca="false">T15*(((Assumptions!$D$94*IF(Assumptions!T$206=2027,1+Assumptions!$F$193,1))/12)*(Assumptions!$C$44+Assumptions!$C$46+Assumptions!$C$47+Assumptions!$C$48+Assumptions!$C$49+Assumptions!$C$50+Assumptions!$C$51+Assumptions!$C$54+Assumptions!$C$55)+MIN(((Assumptions!$D$94*IF(Assumptions!T$206=2027,1+Assumptions!$F$193,1))/12),Assumptions!T$222)*Assumptions!$C$45+MIN(((Assumptions!$D$94*IF(Assumptions!T$206=2027,1+Assumptions!$F$193,1))/12),4*Assumptions!T$222)*(Assumptions!$C$52+Assumptions!$C$53))-T73</f>
        <v>10064.9100163224</v>
      </c>
      <c r="U86" s="65" t="n">
        <f aca="false">U15*(((Assumptions!$D$94*IF(Assumptions!U$206=2027,1+Assumptions!$F$193,1))/12)*(Assumptions!$C$44+Assumptions!$C$46+Assumptions!$C$47+Assumptions!$C$48+Assumptions!$C$49+Assumptions!$C$50+Assumptions!$C$51+Assumptions!$C$54+Assumptions!$C$55)+MIN(((Assumptions!$D$94*IF(Assumptions!U$206=2027,1+Assumptions!$F$193,1))/12),Assumptions!U$222)*Assumptions!$C$45+MIN(((Assumptions!$D$94*IF(Assumptions!U$206=2027,1+Assumptions!$F$193,1))/12),4*Assumptions!U$222)*(Assumptions!$C$52+Assumptions!$C$53))-U73</f>
        <v>10065.1686371138</v>
      </c>
      <c r="V86" s="65" t="n">
        <f aca="false">V15*(((Assumptions!$D$94*IF(Assumptions!V$206=2027,1+Assumptions!$F$193,1))/12)*(Assumptions!$C$44+Assumptions!$C$46+Assumptions!$C$47+Assumptions!$C$48+Assumptions!$C$49+Assumptions!$C$50+Assumptions!$C$51+Assumptions!$C$54+Assumptions!$C$55)+MIN(((Assumptions!$D$94*IF(Assumptions!V$206=2027,1+Assumptions!$F$193,1))/12),Assumptions!V$222)*Assumptions!$C$45+MIN(((Assumptions!$D$94*IF(Assumptions!V$206=2027,1+Assumptions!$F$193,1))/12),4*Assumptions!V$222)*(Assumptions!$C$52+Assumptions!$C$53))-V73</f>
        <v>10065.1587273744</v>
      </c>
      <c r="W86" s="65" t="n">
        <f aca="false">W15*(((Assumptions!$D$94*IF(Assumptions!W$206=2027,1+Assumptions!$F$193,1))/12)*(Assumptions!$C$44+Assumptions!$C$46+Assumptions!$C$47+Assumptions!$C$48+Assumptions!$C$49+Assumptions!$C$50+Assumptions!$C$51+Assumptions!$C$54+Assumptions!$C$55)+MIN(((Assumptions!$D$94*IF(Assumptions!W$206=2027,1+Assumptions!$F$193,1))/12),Assumptions!W$222)*Assumptions!$C$45+MIN(((Assumptions!$D$94*IF(Assumptions!W$206=2027,1+Assumptions!$F$193,1))/12),4*Assumptions!W$222)*(Assumptions!$C$52+Assumptions!$C$53))-W73</f>
        <v>10065.1556184863</v>
      </c>
      <c r="X86" s="65" t="n">
        <f aca="false">X15*(((Assumptions!$D$94*IF(Assumptions!X$206=2027,1+Assumptions!$F$193,1))/12)*(Assumptions!$C$44+Assumptions!$C$46+Assumptions!$C$47+Assumptions!$C$48+Assumptions!$C$49+Assumptions!$C$50+Assumptions!$C$51+Assumptions!$C$54+Assumptions!$C$55)+MIN(((Assumptions!$D$94*IF(Assumptions!X$206=2027,1+Assumptions!$F$193,1))/12),Assumptions!X$222)*Assumptions!$C$45+MIN(((Assumptions!$D$94*IF(Assumptions!X$206=2027,1+Assumptions!$F$193,1))/12),4*Assumptions!X$222)*(Assumptions!$C$52+Assumptions!$C$53))-X73</f>
        <v>10065.1557812191</v>
      </c>
      <c r="Y86" s="65" t="n">
        <f aca="false">Y15*(((Assumptions!$D$94*IF(Assumptions!Y$206=2027,1+Assumptions!$F$193,1))/12)*(Assumptions!$C$44+Assumptions!$C$46+Assumptions!$C$47+Assumptions!$C$48+Assumptions!$C$49+Assumptions!$C$50+Assumptions!$C$51+Assumptions!$C$54+Assumptions!$C$55)+MIN(((Assumptions!$D$94*IF(Assumptions!Y$206=2027,1+Assumptions!$F$193,1))/12),Assumptions!Y$222)*Assumptions!$C$45+MIN(((Assumptions!$D$94*IF(Assumptions!Y$206=2027,1+Assumptions!$F$193,1))/12),4*Assumptions!Y$222)*(Assumptions!$C$52+Assumptions!$C$53))-Y73</f>
        <v>10065.1558180461</v>
      </c>
      <c r="Z86" s="65" t="n">
        <f aca="false">Z15*(((Assumptions!$D$94*IF(Assumptions!Z$206=2027,1+Assumptions!$F$193,1))/12)*(Assumptions!$C$44+Assumptions!$C$46+Assumptions!$C$47+Assumptions!$C$48+Assumptions!$C$49+Assumptions!$C$50+Assumptions!$C$51+Assumptions!$C$54+Assumptions!$C$55)+MIN(((Assumptions!$D$94*IF(Assumptions!Z$206=2027,1+Assumptions!$F$193,1))/12),Assumptions!Z$222)*Assumptions!$C$45+MIN(((Assumptions!$D$94*IF(Assumptions!Z$206=2027,1+Assumptions!$F$193,1))/12),4*Assumptions!Z$222)*(Assumptions!$C$52+Assumptions!$C$53))-Z73</f>
        <v>10065.1558155516</v>
      </c>
      <c r="AA86" s="65" t="n">
        <f aca="false">AA15*(((Assumptions!$D$94*IF(Assumptions!AA$206=2027,1+Assumptions!$F$193,1))/12)*(Assumptions!$C$44+Assumptions!$C$46+Assumptions!$C$47+Assumptions!$C$48+Assumptions!$C$49+Assumptions!$C$50+Assumptions!$C$51+Assumptions!$C$54+Assumptions!$C$55)+MIN(((Assumptions!$D$94*IF(Assumptions!AA$206=2027,1+Assumptions!$F$193,1))/12),Assumptions!AA$222)*Assumptions!$C$45+MIN(((Assumptions!$D$94*IF(Assumptions!AA$206=2027,1+Assumptions!$F$193,1))/12),4*Assumptions!AA$222)*(Assumptions!$C$52+Assumptions!$C$53))-AA73</f>
        <v>10065.1558151224</v>
      </c>
      <c r="AB86" s="65" t="n">
        <f aca="false">AB15*(((Assumptions!$D$94*IF(Assumptions!AB$206=2027,1+Assumptions!$F$193,1))/12)*(Assumptions!$C$44+Assumptions!$C$46+Assumptions!$C$47+Assumptions!$C$48+Assumptions!$C$49+Assumptions!$C$50+Assumptions!$C$51+Assumptions!$C$54+Assumptions!$C$55)+MIN(((Assumptions!$D$94*IF(Assumptions!AB$206=2027,1+Assumptions!$F$193,1))/12),Assumptions!AB$222)*Assumptions!$C$45+MIN(((Assumptions!$D$94*IF(Assumptions!AB$206=2027,1+Assumptions!$F$193,1))/12),4*Assumptions!AB$222)*(Assumptions!$C$52+Assumptions!$C$53))-AB73</f>
        <v>10065.155815159</v>
      </c>
    </row>
    <row r="87" customFormat="false" ht="15" hidden="false" customHeight="false" outlineLevel="0" collapsed="false">
      <c r="A87" s="28" t="s">
        <v>1172</v>
      </c>
      <c r="B87" s="62"/>
      <c r="C87" s="64" t="n">
        <f aca="false">SUM(E87:P87)</f>
        <v>44121.9986335644</v>
      </c>
      <c r="D87" s="64" t="n">
        <f aca="false">SUM(Q87:AB87)</f>
        <v>44363.3782092487</v>
      </c>
      <c r="E87" s="65" t="n">
        <f aca="false">E16*(((Assumptions!$D$95*IF(Assumptions!E$206=2027,1+Assumptions!$F$193,1))/12)*(Assumptions!$C$44+Assumptions!$C$46+Assumptions!$C$47+Assumptions!$C$48+Assumptions!$C$49+Assumptions!$C$50+Assumptions!$C$51+Assumptions!$C$54+Assumptions!$C$55)+MIN(((Assumptions!$D$95*IF(Assumptions!E$206=2027,1+Assumptions!$F$193,1))/12),Assumptions!E$222)*Assumptions!$C$45+MIN(((Assumptions!$D$95*IF(Assumptions!E$206=2027,1+Assumptions!$F$193,1))/12),4*Assumptions!E$222)*(Assumptions!$C$52+Assumptions!$C$53))-E74</f>
        <v>3712.24416666667</v>
      </c>
      <c r="F87" s="65" t="n">
        <f aca="false">F16*(((Assumptions!$D$95*IF(Assumptions!F$206=2027,1+Assumptions!$F$193,1))/12)*(Assumptions!$C$44+Assumptions!$C$46+Assumptions!$C$47+Assumptions!$C$48+Assumptions!$C$49+Assumptions!$C$50+Assumptions!$C$51+Assumptions!$C$54+Assumptions!$C$55)+MIN(((Assumptions!$D$95*IF(Assumptions!F$206=2027,1+Assumptions!$F$193,1))/12),Assumptions!F$222)*Assumptions!$C$45+MIN(((Assumptions!$D$95*IF(Assumptions!F$206=2027,1+Assumptions!$F$193,1))/12),4*Assumptions!F$222)*(Assumptions!$C$52+Assumptions!$C$53))-F74</f>
        <v>3712.24416666667</v>
      </c>
      <c r="G87" s="65" t="n">
        <f aca="false">G16*(((Assumptions!$D$95*IF(Assumptions!G$206=2027,1+Assumptions!$F$193,1))/12)*(Assumptions!$C$44+Assumptions!$C$46+Assumptions!$C$47+Assumptions!$C$48+Assumptions!$C$49+Assumptions!$C$50+Assumptions!$C$51+Assumptions!$C$54+Assumptions!$C$55)+MIN(((Assumptions!$D$95*IF(Assumptions!G$206=2027,1+Assumptions!$F$193,1))/12),Assumptions!G$222)*Assumptions!$C$45+MIN(((Assumptions!$D$95*IF(Assumptions!G$206=2027,1+Assumptions!$F$193,1))/12),4*Assumptions!G$222)*(Assumptions!$C$52+Assumptions!$C$53))-G74</f>
        <v>3712.24416666667</v>
      </c>
      <c r="H87" s="65" t="n">
        <f aca="false">H16*(((Assumptions!$D$95*IF(Assumptions!H$206=2027,1+Assumptions!$F$193,1))/12)*(Assumptions!$C$44+Assumptions!$C$46+Assumptions!$C$47+Assumptions!$C$48+Assumptions!$C$49+Assumptions!$C$50+Assumptions!$C$51+Assumptions!$C$54+Assumptions!$C$55)+MIN(((Assumptions!$D$95*IF(Assumptions!H$206=2027,1+Assumptions!$F$193,1))/12),Assumptions!H$222)*Assumptions!$C$45+MIN(((Assumptions!$D$95*IF(Assumptions!H$206=2027,1+Assumptions!$F$193,1))/12),4*Assumptions!H$222)*(Assumptions!$C$52+Assumptions!$C$53))-H74</f>
        <v>3712.24416666667</v>
      </c>
      <c r="I87" s="65" t="n">
        <f aca="false">I16*(((Assumptions!$D$95*IF(Assumptions!I$206=2027,1+Assumptions!$F$193,1))/12)*(Assumptions!$C$44+Assumptions!$C$46+Assumptions!$C$47+Assumptions!$C$48+Assumptions!$C$49+Assumptions!$C$50+Assumptions!$C$51+Assumptions!$C$54+Assumptions!$C$55)+MIN(((Assumptions!$D$95*IF(Assumptions!I$206=2027,1+Assumptions!$F$193,1))/12),Assumptions!I$222)*Assumptions!$C$45+MIN(((Assumptions!$D$95*IF(Assumptions!I$206=2027,1+Assumptions!$F$193,1))/12),4*Assumptions!I$222)*(Assumptions!$C$52+Assumptions!$C$53))-I74</f>
        <v>3712.24416666667</v>
      </c>
      <c r="J87" s="65" t="n">
        <f aca="false">J16*(((Assumptions!$D$95*IF(Assumptions!J$206=2027,1+Assumptions!$F$193,1))/12)*(Assumptions!$C$44+Assumptions!$C$46+Assumptions!$C$47+Assumptions!$C$48+Assumptions!$C$49+Assumptions!$C$50+Assumptions!$C$51+Assumptions!$C$54+Assumptions!$C$55)+MIN(((Assumptions!$D$95*IF(Assumptions!J$206=2027,1+Assumptions!$F$193,1))/12),Assumptions!J$222)*Assumptions!$C$45+MIN(((Assumptions!$D$95*IF(Assumptions!J$206=2027,1+Assumptions!$F$193,1))/12),4*Assumptions!J$222)*(Assumptions!$C$52+Assumptions!$C$53))-J74</f>
        <v>3712.24416666667</v>
      </c>
      <c r="K87" s="65" t="n">
        <f aca="false">K16*(((Assumptions!$D$95*IF(Assumptions!K$206=2027,1+Assumptions!$F$193,1))/12)*(Assumptions!$C$44+Assumptions!$C$46+Assumptions!$C$47+Assumptions!$C$48+Assumptions!$C$49+Assumptions!$C$50+Assumptions!$C$51+Assumptions!$C$54+Assumptions!$C$55)+MIN(((Assumptions!$D$95*IF(Assumptions!K$206=2027,1+Assumptions!$F$193,1))/12),Assumptions!K$222)*Assumptions!$C$45+MIN(((Assumptions!$D$95*IF(Assumptions!K$206=2027,1+Assumptions!$F$193,1))/12),4*Assumptions!K$222)*(Assumptions!$C$52+Assumptions!$C$53))-K74</f>
        <v>3712.24416666667</v>
      </c>
      <c r="L87" s="65" t="n">
        <f aca="false">L16*(((Assumptions!$D$95*IF(Assumptions!L$206=2027,1+Assumptions!$F$193,1))/12)*(Assumptions!$C$44+Assumptions!$C$46+Assumptions!$C$47+Assumptions!$C$48+Assumptions!$C$49+Assumptions!$C$50+Assumptions!$C$51+Assumptions!$C$54+Assumptions!$C$55)+MIN(((Assumptions!$D$95*IF(Assumptions!L$206=2027,1+Assumptions!$F$193,1))/12),Assumptions!L$222)*Assumptions!$C$45+MIN(((Assumptions!$D$95*IF(Assumptions!L$206=2027,1+Assumptions!$F$193,1))/12),4*Assumptions!L$222)*(Assumptions!$C$52+Assumptions!$C$53))-L74</f>
        <v>3712.24416666667</v>
      </c>
      <c r="M87" s="65" t="n">
        <f aca="false">M16*(((Assumptions!$D$95*IF(Assumptions!M$206=2027,1+Assumptions!$F$193,1))/12)*(Assumptions!$C$44+Assumptions!$C$46+Assumptions!$C$47+Assumptions!$C$48+Assumptions!$C$49+Assumptions!$C$50+Assumptions!$C$51+Assumptions!$C$54+Assumptions!$C$55)+MIN(((Assumptions!$D$95*IF(Assumptions!M$206=2027,1+Assumptions!$F$193,1))/12),Assumptions!M$222)*Assumptions!$C$45+MIN(((Assumptions!$D$95*IF(Assumptions!M$206=2027,1+Assumptions!$F$193,1))/12),4*Assumptions!M$222)*(Assumptions!$C$52+Assumptions!$C$53))-M74</f>
        <v>3650.37343055556</v>
      </c>
      <c r="N87" s="65" t="n">
        <f aca="false">N16*(((Assumptions!$D$95*IF(Assumptions!N$206=2027,1+Assumptions!$F$193,1))/12)*(Assumptions!$C$44+Assumptions!$C$46+Assumptions!$C$47+Assumptions!$C$48+Assumptions!$C$49+Assumptions!$C$50+Assumptions!$C$51+Assumptions!$C$54+Assumptions!$C$55)+MIN(((Assumptions!$D$95*IF(Assumptions!N$206=2027,1+Assumptions!$F$193,1))/12),Assumptions!N$222)*Assumptions!$C$45+MIN(((Assumptions!$D$95*IF(Assumptions!N$206=2027,1+Assumptions!$F$193,1))/12),4*Assumptions!N$222)*(Assumptions!$C$52+Assumptions!$C$53))-N74</f>
        <v>3589.53387337963</v>
      </c>
      <c r="O87" s="65" t="n">
        <f aca="false">O16*(((Assumptions!$D$95*IF(Assumptions!O$206=2027,1+Assumptions!$F$193,1))/12)*(Assumptions!$C$44+Assumptions!$C$46+Assumptions!$C$47+Assumptions!$C$48+Assumptions!$C$49+Assumptions!$C$50+Assumptions!$C$51+Assumptions!$C$54+Assumptions!$C$55)+MIN(((Assumptions!$D$95*IF(Assumptions!O$206=2027,1+Assumptions!$F$193,1))/12),Assumptions!O$222)*Assumptions!$C$45+MIN(((Assumptions!$D$95*IF(Assumptions!O$206=2027,1+Assumptions!$F$193,1))/12),4*Assumptions!O$222)*(Assumptions!$C$52+Assumptions!$C$53))-O74</f>
        <v>3591.57904493441</v>
      </c>
      <c r="P87" s="65" t="n">
        <f aca="false">P16*(((Assumptions!$D$95*IF(Assumptions!P$206=2027,1+Assumptions!$F$193,1))/12)*(Assumptions!$C$44+Assumptions!$C$46+Assumptions!$C$47+Assumptions!$C$48+Assumptions!$C$49+Assumptions!$C$50+Assumptions!$C$51+Assumptions!$C$54+Assumptions!$C$55)+MIN(((Assumptions!$D$95*IF(Assumptions!P$206=2027,1+Assumptions!$F$193,1))/12),Assumptions!P$222)*Assumptions!$C$45+MIN(((Assumptions!$D$95*IF(Assumptions!P$206=2027,1+Assumptions!$F$193,1))/12),4*Assumptions!P$222)*(Assumptions!$C$52+Assumptions!$C$53))-P74</f>
        <v>3592.55895136143</v>
      </c>
      <c r="Q87" s="65" t="n">
        <f aca="false">Q16*(((Assumptions!$D$95*IF(Assumptions!Q$206=2027,1+Assumptions!$F$193,1))/12)*(Assumptions!$C$44+Assumptions!$C$46+Assumptions!$C$47+Assumptions!$C$48+Assumptions!$C$49+Assumptions!$C$50+Assumptions!$C$51+Assumptions!$C$54+Assumptions!$C$55)+MIN(((Assumptions!$D$95*IF(Assumptions!Q$206=2027,1+Assumptions!$F$193,1))/12),Assumptions!Q$222)*Assumptions!$C$45+MIN(((Assumptions!$D$95*IF(Assumptions!Q$206=2027,1+Assumptions!$F$193,1))/12),4*Assumptions!Q$222)*(Assumptions!$C$52+Assumptions!$C$53))-Q74</f>
        <v>3696.9616875759</v>
      </c>
      <c r="R87" s="65" t="n">
        <f aca="false">R16*(((Assumptions!$D$95*IF(Assumptions!R$206=2027,1+Assumptions!$F$193,1))/12)*(Assumptions!$C$44+Assumptions!$C$46+Assumptions!$C$47+Assumptions!$C$48+Assumptions!$C$49+Assumptions!$C$50+Assumptions!$C$51+Assumptions!$C$54+Assumptions!$C$55)+MIN(((Assumptions!$D$95*IF(Assumptions!R$206=2027,1+Assumptions!$F$193,1))/12),Assumptions!R$222)*Assumptions!$C$45+MIN(((Assumptions!$D$95*IF(Assumptions!R$206=2027,1+Assumptions!$F$193,1))/12),4*Assumptions!R$222)*(Assumptions!$C$52+Assumptions!$C$53))-R74</f>
        <v>3696.94574568276</v>
      </c>
      <c r="S87" s="65" t="n">
        <f aca="false">S16*(((Assumptions!$D$95*IF(Assumptions!S$206=2027,1+Assumptions!$F$193,1))/12)*(Assumptions!$C$44+Assumptions!$C$46+Assumptions!$C$47+Assumptions!$C$48+Assumptions!$C$49+Assumptions!$C$50+Assumptions!$C$51+Assumptions!$C$54+Assumptions!$C$55)+MIN(((Assumptions!$D$95*IF(Assumptions!S$206=2027,1+Assumptions!$F$193,1))/12),Assumptions!S$222)*Assumptions!$C$45+MIN(((Assumptions!$D$95*IF(Assumptions!S$206=2027,1+Assumptions!$F$193,1))/12),4*Assumptions!S$222)*(Assumptions!$C$52+Assumptions!$C$53))-S74</f>
        <v>3696.94687611236</v>
      </c>
      <c r="T87" s="65" t="n">
        <f aca="false">T16*(((Assumptions!$D$95*IF(Assumptions!T$206=2027,1+Assumptions!$F$193,1))/12)*(Assumptions!$C$44+Assumptions!$C$46+Assumptions!$C$47+Assumptions!$C$48+Assumptions!$C$49+Assumptions!$C$50+Assumptions!$C$51+Assumptions!$C$54+Assumptions!$C$55)+MIN(((Assumptions!$D$95*IF(Assumptions!T$206=2027,1+Assumptions!$F$193,1))/12),Assumptions!T$222)*Assumptions!$C$45+MIN(((Assumptions!$D$95*IF(Assumptions!T$206=2027,1+Assumptions!$F$193,1))/12),4*Assumptions!T$222)*(Assumptions!$C$52+Assumptions!$C$53))-T74</f>
        <v>3696.94712297008</v>
      </c>
      <c r="U87" s="65" t="n">
        <f aca="false">U16*(((Assumptions!$D$95*IF(Assumptions!U$206=2027,1+Assumptions!$F$193,1))/12)*(Assumptions!$C$44+Assumptions!$C$46+Assumptions!$C$47+Assumptions!$C$48+Assumptions!$C$49+Assumptions!$C$50+Assumptions!$C$51+Assumptions!$C$54+Assumptions!$C$55)+MIN(((Assumptions!$D$95*IF(Assumptions!U$206=2027,1+Assumptions!$F$193,1))/12),Assumptions!U$222)*Assumptions!$C$45+MIN(((Assumptions!$D$95*IF(Assumptions!U$206=2027,1+Assumptions!$F$193,1))/12),4*Assumptions!U$222)*(Assumptions!$C$52+Assumptions!$C$53))-U74</f>
        <v>3696.94710001529</v>
      </c>
      <c r="V87" s="65" t="n">
        <f aca="false">V16*(((Assumptions!$D$95*IF(Assumptions!V$206=2027,1+Assumptions!$F$193,1))/12)*(Assumptions!$C$44+Assumptions!$C$46+Assumptions!$C$47+Assumptions!$C$48+Assumptions!$C$49+Assumptions!$C$50+Assumptions!$C$51+Assumptions!$C$54+Assumptions!$C$55)+MIN(((Assumptions!$D$95*IF(Assumptions!V$206=2027,1+Assumptions!$F$193,1))/12),Assumptions!V$222)*Assumptions!$C$45+MIN(((Assumptions!$D$95*IF(Assumptions!V$206=2027,1+Assumptions!$F$193,1))/12),4*Assumptions!V$222)*(Assumptions!$C$52+Assumptions!$C$53))-V74</f>
        <v>3696.94709628358</v>
      </c>
      <c r="W87" s="65" t="n">
        <f aca="false">W16*(((Assumptions!$D$95*IF(Assumptions!W$206=2027,1+Assumptions!$F$193,1))/12)*(Assumptions!$C$44+Assumptions!$C$46+Assumptions!$C$47+Assumptions!$C$48+Assumptions!$C$49+Assumptions!$C$50+Assumptions!$C$51+Assumptions!$C$54+Assumptions!$C$55)+MIN(((Assumptions!$D$95*IF(Assumptions!W$206=2027,1+Assumptions!$F$193,1))/12),Assumptions!W$222)*Assumptions!$C$45+MIN(((Assumptions!$D$95*IF(Assumptions!W$206=2027,1+Assumptions!$F$193,1))/12),4*Assumptions!W$222)*(Assumptions!$C$52+Assumptions!$C$53))-W74</f>
        <v>3696.94709672835</v>
      </c>
      <c r="X87" s="65" t="n">
        <f aca="false">X16*(((Assumptions!$D$95*IF(Assumptions!X$206=2027,1+Assumptions!$F$193,1))/12)*(Assumptions!$C$44+Assumptions!$C$46+Assumptions!$C$47+Assumptions!$C$48+Assumptions!$C$49+Assumptions!$C$50+Assumptions!$C$51+Assumptions!$C$54+Assumptions!$C$55)+MIN(((Assumptions!$D$95*IF(Assumptions!X$206=2027,1+Assumptions!$F$193,1))/12),Assumptions!X$222)*Assumptions!$C$45+MIN(((Assumptions!$D$95*IF(Assumptions!X$206=2027,1+Assumptions!$F$193,1))/12),4*Assumptions!X$222)*(Assumptions!$C$52+Assumptions!$C$53))-X74</f>
        <v>3696.94709678313</v>
      </c>
      <c r="Y87" s="65" t="n">
        <f aca="false">Y16*(((Assumptions!$D$95*IF(Assumptions!Y$206=2027,1+Assumptions!$F$193,1))/12)*(Assumptions!$C$44+Assumptions!$C$46+Assumptions!$C$47+Assumptions!$C$48+Assumptions!$C$49+Assumptions!$C$50+Assumptions!$C$51+Assumptions!$C$54+Assumptions!$C$55)+MIN(((Assumptions!$D$95*IF(Assumptions!Y$206=2027,1+Assumptions!$F$193,1))/12),Assumptions!Y$222)*Assumptions!$C$45+MIN(((Assumptions!$D$95*IF(Assumptions!Y$206=2027,1+Assumptions!$F$193,1))/12),4*Assumptions!Y$222)*(Assumptions!$C$52+Assumptions!$C$53))-Y74</f>
        <v>3696.94709677481</v>
      </c>
      <c r="Z87" s="65" t="n">
        <f aca="false">Z16*(((Assumptions!$D$95*IF(Assumptions!Z$206=2027,1+Assumptions!$F$193,1))/12)*(Assumptions!$C$44+Assumptions!$C$46+Assumptions!$C$47+Assumptions!$C$48+Assumptions!$C$49+Assumptions!$C$50+Assumptions!$C$51+Assumptions!$C$54+Assumptions!$C$55)+MIN(((Assumptions!$D$95*IF(Assumptions!Z$206=2027,1+Assumptions!$F$193,1))/12),Assumptions!Z$222)*Assumptions!$C$45+MIN(((Assumptions!$D$95*IF(Assumptions!Z$206=2027,1+Assumptions!$F$193,1))/12),4*Assumptions!Z$222)*(Assumptions!$C$52+Assumptions!$C$53))-Z74</f>
        <v>3696.94709677403</v>
      </c>
      <c r="AA87" s="65" t="n">
        <f aca="false">AA16*(((Assumptions!$D$95*IF(Assumptions!AA$206=2027,1+Assumptions!$F$193,1))/12)*(Assumptions!$C$44+Assumptions!$C$46+Assumptions!$C$47+Assumptions!$C$48+Assumptions!$C$49+Assumptions!$C$50+Assumptions!$C$51+Assumptions!$C$54+Assumptions!$C$55)+MIN(((Assumptions!$D$95*IF(Assumptions!AA$206=2027,1+Assumptions!$F$193,1))/12),Assumptions!AA$222)*Assumptions!$C$45+MIN(((Assumptions!$D$95*IF(Assumptions!AA$206=2027,1+Assumptions!$F$193,1))/12),4*Assumptions!AA$222)*(Assumptions!$C$52+Assumptions!$C$53))-AA74</f>
        <v>3696.94709677419</v>
      </c>
      <c r="AB87" s="65" t="n">
        <f aca="false">AB16*(((Assumptions!$D$95*IF(Assumptions!AB$206=2027,1+Assumptions!$F$193,1))/12)*(Assumptions!$C$44+Assumptions!$C$46+Assumptions!$C$47+Assumptions!$C$48+Assumptions!$C$49+Assumptions!$C$50+Assumptions!$C$51+Assumptions!$C$54+Assumptions!$C$55)+MIN(((Assumptions!$D$95*IF(Assumptions!AB$206=2027,1+Assumptions!$F$193,1))/12),Assumptions!AB$222)*Assumptions!$C$45+MIN(((Assumptions!$D$95*IF(Assumptions!AB$206=2027,1+Assumptions!$F$193,1))/12),4*Assumptions!AB$222)*(Assumptions!$C$52+Assumptions!$C$53))-AB74</f>
        <v>3696.9470967742</v>
      </c>
    </row>
    <row r="88" customFormat="false" ht="15" hidden="false" customHeight="false" outlineLevel="0" collapsed="false">
      <c r="A88" s="28" t="s">
        <v>1173</v>
      </c>
      <c r="B88" s="62"/>
      <c r="C88" s="64" t="n">
        <f aca="false">SUM(E88:P88)</f>
        <v>167183.8538964</v>
      </c>
      <c r="D88" s="64" t="n">
        <f aca="false">SUM(Q88:AB88)</f>
        <v>221071.465720769</v>
      </c>
      <c r="E88" s="65" t="n">
        <f aca="false">E17*(((Assumptions!$D$96*IF(Assumptions!E$206=2027,1+Assumptions!$F$193,1))/12)*(Assumptions!$C$44+Assumptions!$C$46+Assumptions!$C$47+Assumptions!$C$48+Assumptions!$C$49+Assumptions!$C$50+Assumptions!$C$51+Assumptions!$C$54+Assumptions!$C$55)+MIN(((Assumptions!$D$96*IF(Assumptions!E$206=2027,1+Assumptions!$F$193,1))/12),Assumptions!E$222)*Assumptions!$C$45+MIN(((Assumptions!$D$96*IF(Assumptions!E$206=2027,1+Assumptions!$F$193,1))/12),4*Assumptions!E$222)*(Assumptions!$C$52+Assumptions!$C$53))-E75</f>
        <v>11562.3708333333</v>
      </c>
      <c r="F88" s="65" t="n">
        <f aca="false">F17*(((Assumptions!$D$96*IF(Assumptions!F$206=2027,1+Assumptions!$F$193,1))/12)*(Assumptions!$C$44+Assumptions!$C$46+Assumptions!$C$47+Assumptions!$C$48+Assumptions!$C$49+Assumptions!$C$50+Assumptions!$C$51+Assumptions!$C$54+Assumptions!$C$55)+MIN(((Assumptions!$D$96*IF(Assumptions!F$206=2027,1+Assumptions!$F$193,1))/12),Assumptions!F$222)*Assumptions!$C$45+MIN(((Assumptions!$D$96*IF(Assumptions!F$206=2027,1+Assumptions!$F$193,1))/12),4*Assumptions!F$222)*(Assumptions!$C$52+Assumptions!$C$53))-F75</f>
        <v>13874.845</v>
      </c>
      <c r="G88" s="65" t="n">
        <f aca="false">G17*(((Assumptions!$D$96*IF(Assumptions!G$206=2027,1+Assumptions!$F$193,1))/12)*(Assumptions!$C$44+Assumptions!$C$46+Assumptions!$C$47+Assumptions!$C$48+Assumptions!$C$49+Assumptions!$C$50+Assumptions!$C$51+Assumptions!$C$54+Assumptions!$C$55)+MIN(((Assumptions!$D$96*IF(Assumptions!G$206=2027,1+Assumptions!$F$193,1))/12),Assumptions!G$222)*Assumptions!$C$45+MIN(((Assumptions!$D$96*IF(Assumptions!G$206=2027,1+Assumptions!$F$193,1))/12),4*Assumptions!G$222)*(Assumptions!$C$52+Assumptions!$C$53))-G75</f>
        <v>13874.845</v>
      </c>
      <c r="H88" s="65" t="n">
        <f aca="false">H17*(((Assumptions!$D$96*IF(Assumptions!H$206=2027,1+Assumptions!$F$193,1))/12)*(Assumptions!$C$44+Assumptions!$C$46+Assumptions!$C$47+Assumptions!$C$48+Assumptions!$C$49+Assumptions!$C$50+Assumptions!$C$51+Assumptions!$C$54+Assumptions!$C$55)+MIN(((Assumptions!$D$96*IF(Assumptions!H$206=2027,1+Assumptions!$F$193,1))/12),Assumptions!H$222)*Assumptions!$C$45+MIN(((Assumptions!$D$96*IF(Assumptions!H$206=2027,1+Assumptions!$F$193,1))/12),4*Assumptions!H$222)*(Assumptions!$C$52+Assumptions!$C$53))-H75</f>
        <v>13874.845</v>
      </c>
      <c r="I88" s="65" t="n">
        <f aca="false">I17*(((Assumptions!$D$96*IF(Assumptions!I$206=2027,1+Assumptions!$F$193,1))/12)*(Assumptions!$C$44+Assumptions!$C$46+Assumptions!$C$47+Assumptions!$C$48+Assumptions!$C$49+Assumptions!$C$50+Assumptions!$C$51+Assumptions!$C$54+Assumptions!$C$55)+MIN(((Assumptions!$D$96*IF(Assumptions!I$206=2027,1+Assumptions!$F$193,1))/12),Assumptions!I$222)*Assumptions!$C$45+MIN(((Assumptions!$D$96*IF(Assumptions!I$206=2027,1+Assumptions!$F$193,1))/12),4*Assumptions!I$222)*(Assumptions!$C$52+Assumptions!$C$53))-I75</f>
        <v>13874.845</v>
      </c>
      <c r="J88" s="65" t="n">
        <f aca="false">J17*(((Assumptions!$D$96*IF(Assumptions!J$206=2027,1+Assumptions!$F$193,1))/12)*(Assumptions!$C$44+Assumptions!$C$46+Assumptions!$C$47+Assumptions!$C$48+Assumptions!$C$49+Assumptions!$C$50+Assumptions!$C$51+Assumptions!$C$54+Assumptions!$C$55)+MIN(((Assumptions!$D$96*IF(Assumptions!J$206=2027,1+Assumptions!$F$193,1))/12),Assumptions!J$222)*Assumptions!$C$45+MIN(((Assumptions!$D$96*IF(Assumptions!J$206=2027,1+Assumptions!$F$193,1))/12),4*Assumptions!J$222)*(Assumptions!$C$52+Assumptions!$C$53))-J75</f>
        <v>13874.845</v>
      </c>
      <c r="K88" s="65" t="n">
        <f aca="false">K17*(((Assumptions!$D$96*IF(Assumptions!K$206=2027,1+Assumptions!$F$193,1))/12)*(Assumptions!$C$44+Assumptions!$C$46+Assumptions!$C$47+Assumptions!$C$48+Assumptions!$C$49+Assumptions!$C$50+Assumptions!$C$51+Assumptions!$C$54+Assumptions!$C$55)+MIN(((Assumptions!$D$96*IF(Assumptions!K$206=2027,1+Assumptions!$F$193,1))/12),Assumptions!K$222)*Assumptions!$C$45+MIN(((Assumptions!$D$96*IF(Assumptions!K$206=2027,1+Assumptions!$F$193,1))/12),4*Assumptions!K$222)*(Assumptions!$C$52+Assumptions!$C$53))-K75</f>
        <v>13874.845</v>
      </c>
      <c r="L88" s="65" t="n">
        <f aca="false">L17*(((Assumptions!$D$96*IF(Assumptions!L$206=2027,1+Assumptions!$F$193,1))/12)*(Assumptions!$C$44+Assumptions!$C$46+Assumptions!$C$47+Assumptions!$C$48+Assumptions!$C$49+Assumptions!$C$50+Assumptions!$C$51+Assumptions!$C$54+Assumptions!$C$55)+MIN(((Assumptions!$D$96*IF(Assumptions!L$206=2027,1+Assumptions!$F$193,1))/12),Assumptions!L$222)*Assumptions!$C$45+MIN(((Assumptions!$D$96*IF(Assumptions!L$206=2027,1+Assumptions!$F$193,1))/12),4*Assumptions!L$222)*(Assumptions!$C$52+Assumptions!$C$53))-L75</f>
        <v>13874.845</v>
      </c>
      <c r="M88" s="65" t="n">
        <f aca="false">M17*(((Assumptions!$D$96*IF(Assumptions!M$206=2027,1+Assumptions!$F$193,1))/12)*(Assumptions!$C$44+Assumptions!$C$46+Assumptions!$C$47+Assumptions!$C$48+Assumptions!$C$49+Assumptions!$C$50+Assumptions!$C$51+Assumptions!$C$54+Assumptions!$C$55)+MIN(((Assumptions!$D$96*IF(Assumptions!M$206=2027,1+Assumptions!$F$193,1))/12),Assumptions!M$222)*Assumptions!$C$45+MIN(((Assumptions!$D$96*IF(Assumptions!M$206=2027,1+Assumptions!$F$193,1))/12),4*Assumptions!M$222)*(Assumptions!$C$52+Assumptions!$C$53))-M75</f>
        <v>13643.5975833333</v>
      </c>
      <c r="N88" s="65" t="n">
        <f aca="false">N17*(((Assumptions!$D$96*IF(Assumptions!N$206=2027,1+Assumptions!$F$193,1))/12)*(Assumptions!$C$44+Assumptions!$C$46+Assumptions!$C$47+Assumptions!$C$48+Assumptions!$C$49+Assumptions!$C$50+Assumptions!$C$51+Assumptions!$C$54+Assumptions!$C$55)+MIN(((Assumptions!$D$96*IF(Assumptions!N$206=2027,1+Assumptions!$F$193,1))/12),Assumptions!N$222)*Assumptions!$C$45+MIN(((Assumptions!$D$96*IF(Assumptions!N$206=2027,1+Assumptions!$F$193,1))/12),4*Assumptions!N$222)*(Assumptions!$C$52+Assumptions!$C$53))-N75</f>
        <v>13416.2042902778</v>
      </c>
      <c r="O88" s="65" t="n">
        <f aca="false">O17*(((Assumptions!$D$96*IF(Assumptions!O$206=2027,1+Assumptions!$F$193,1))/12)*(Assumptions!$C$44+Assumptions!$C$46+Assumptions!$C$47+Assumptions!$C$48+Assumptions!$C$49+Assumptions!$C$50+Assumptions!$C$51+Assumptions!$C$54+Assumptions!$C$55)+MIN(((Assumptions!$D$96*IF(Assumptions!O$206=2027,1+Assumptions!$F$193,1))/12),Assumptions!O$222)*Assumptions!$C$45+MIN(((Assumptions!$D$96*IF(Assumptions!O$206=2027,1+Assumptions!$F$193,1))/12),4*Assumptions!O$222)*(Assumptions!$C$52+Assumptions!$C$53))-O75</f>
        <v>15736.3224687731</v>
      </c>
      <c r="P88" s="65" t="n">
        <f aca="false">P17*(((Assumptions!$D$96*IF(Assumptions!P$206=2027,1+Assumptions!$F$193,1))/12)*(Assumptions!$C$44+Assumptions!$C$46+Assumptions!$C$47+Assumptions!$C$48+Assumptions!$C$49+Assumptions!$C$50+Assumptions!$C$51+Assumptions!$C$54+Assumptions!$C$55)+MIN(((Assumptions!$D$96*IF(Assumptions!P$206=2027,1+Assumptions!$F$193,1))/12),Assumptions!P$222)*Assumptions!$C$45+MIN(((Assumptions!$D$96*IF(Assumptions!P$206=2027,1+Assumptions!$F$193,1))/12),4*Assumptions!P$222)*(Assumptions!$C$52+Assumptions!$C$53))-P75</f>
        <v>15701.4437206825</v>
      </c>
      <c r="Q88" s="65" t="n">
        <f aca="false">Q17*(((Assumptions!$D$96*IF(Assumptions!Q$206=2027,1+Assumptions!$F$193,1))/12)*(Assumptions!$C$44+Assumptions!$C$46+Assumptions!$C$47+Assumptions!$C$48+Assumptions!$C$49+Assumptions!$C$50+Assumptions!$C$51+Assumptions!$C$54+Assumptions!$C$55)+MIN(((Assumptions!$D$96*IF(Assumptions!Q$206=2027,1+Assumptions!$F$193,1))/12),Assumptions!Q$222)*Assumptions!$C$45+MIN(((Assumptions!$D$96*IF(Assumptions!Q$206=2027,1+Assumptions!$F$193,1))/12),4*Assumptions!Q$222)*(Assumptions!$C$52+Assumptions!$C$53))-Q75</f>
        <v>18488.4206934257</v>
      </c>
      <c r="R88" s="65" t="n">
        <f aca="false">R17*(((Assumptions!$D$96*IF(Assumptions!R$206=2027,1+Assumptions!$F$193,1))/12)*(Assumptions!$C$44+Assumptions!$C$46+Assumptions!$C$47+Assumptions!$C$48+Assumptions!$C$49+Assumptions!$C$50+Assumptions!$C$51+Assumptions!$C$54+Assumptions!$C$55)+MIN(((Assumptions!$D$96*IF(Assumptions!R$206=2027,1+Assumptions!$F$193,1))/12),Assumptions!R$222)*Assumptions!$C$45+MIN(((Assumptions!$D$96*IF(Assumptions!R$206=2027,1+Assumptions!$F$193,1))/12),4*Assumptions!R$222)*(Assumptions!$C$52+Assumptions!$C$53))-R75</f>
        <v>18450.0312129364</v>
      </c>
      <c r="S88" s="65" t="n">
        <f aca="false">S17*(((Assumptions!$D$96*IF(Assumptions!S$206=2027,1+Assumptions!$F$193,1))/12)*(Assumptions!$C$44+Assumptions!$C$46+Assumptions!$C$47+Assumptions!$C$48+Assumptions!$C$49+Assumptions!$C$50+Assumptions!$C$51+Assumptions!$C$54+Assumptions!$C$55)+MIN(((Assumptions!$D$96*IF(Assumptions!S$206=2027,1+Assumptions!$F$193,1))/12),Assumptions!S$222)*Assumptions!$C$45+MIN(((Assumptions!$D$96*IF(Assumptions!S$206=2027,1+Assumptions!$F$193,1))/12),4*Assumptions!S$222)*(Assumptions!$C$52+Assumptions!$C$53))-S75</f>
        <v>18411.6836682273</v>
      </c>
      <c r="T88" s="65" t="n">
        <f aca="false">T17*(((Assumptions!$D$96*IF(Assumptions!T$206=2027,1+Assumptions!$F$193,1))/12)*(Assumptions!$C$44+Assumptions!$C$46+Assumptions!$C$47+Assumptions!$C$48+Assumptions!$C$49+Assumptions!$C$50+Assumptions!$C$51+Assumptions!$C$54+Assumptions!$C$55)+MIN(((Assumptions!$D$96*IF(Assumptions!T$206=2027,1+Assumptions!$F$193,1))/12),Assumptions!T$222)*Assumptions!$C$45+MIN(((Assumptions!$D$96*IF(Assumptions!T$206=2027,1+Assumptions!$F$193,1))/12),4*Assumptions!T$222)*(Assumptions!$C$52+Assumptions!$C$53))-T75</f>
        <v>18412.9626186473</v>
      </c>
      <c r="U88" s="65" t="n">
        <f aca="false">U17*(((Assumptions!$D$96*IF(Assumptions!U$206=2027,1+Assumptions!$F$193,1))/12)*(Assumptions!$C$44+Assumptions!$C$46+Assumptions!$C$47+Assumptions!$C$48+Assumptions!$C$49+Assumptions!$C$50+Assumptions!$C$51+Assumptions!$C$54+Assumptions!$C$55)+MIN(((Assumptions!$D$96*IF(Assumptions!U$206=2027,1+Assumptions!$F$193,1))/12),Assumptions!U$222)*Assumptions!$C$45+MIN(((Assumptions!$D$96*IF(Assumptions!U$206=2027,1+Assumptions!$F$193,1))/12),4*Assumptions!U$222)*(Assumptions!$C$52+Assumptions!$C$53))-U75</f>
        <v>18413.5804285521</v>
      </c>
      <c r="V88" s="65" t="n">
        <f aca="false">V17*(((Assumptions!$D$96*IF(Assumptions!V$206=2027,1+Assumptions!$F$193,1))/12)*(Assumptions!$C$44+Assumptions!$C$46+Assumptions!$C$47+Assumptions!$C$48+Assumptions!$C$49+Assumptions!$C$50+Assumptions!$C$51+Assumptions!$C$54+Assumptions!$C$55)+MIN(((Assumptions!$D$96*IF(Assumptions!V$206=2027,1+Assumptions!$F$193,1))/12),Assumptions!V$222)*Assumptions!$C$45+MIN(((Assumptions!$D$96*IF(Assumptions!V$206=2027,1+Assumptions!$F$193,1))/12),4*Assumptions!V$222)*(Assumptions!$C$52+Assumptions!$C$53))-V75</f>
        <v>18413.54881588</v>
      </c>
      <c r="W88" s="65" t="n">
        <f aca="false">W17*(((Assumptions!$D$96*IF(Assumptions!W$206=2027,1+Assumptions!$F$193,1))/12)*(Assumptions!$C$44+Assumptions!$C$46+Assumptions!$C$47+Assumptions!$C$48+Assumptions!$C$49+Assumptions!$C$50+Assumptions!$C$51+Assumptions!$C$54+Assumptions!$C$55)+MIN(((Assumptions!$D$96*IF(Assumptions!W$206=2027,1+Assumptions!$F$193,1))/12),Assumptions!W$222)*Assumptions!$C$45+MIN(((Assumptions!$D$96*IF(Assumptions!W$206=2027,1+Assumptions!$F$193,1))/12),4*Assumptions!W$222)*(Assumptions!$C$52+Assumptions!$C$53))-W75</f>
        <v>18413.5390459261</v>
      </c>
      <c r="X88" s="65" t="n">
        <f aca="false">X17*(((Assumptions!$D$96*IF(Assumptions!X$206=2027,1+Assumptions!$F$193,1))/12)*(Assumptions!$C$44+Assumptions!$C$46+Assumptions!$C$47+Assumptions!$C$48+Assumptions!$C$49+Assumptions!$C$50+Assumptions!$C$51+Assumptions!$C$54+Assumptions!$C$55)+MIN(((Assumptions!$D$96*IF(Assumptions!X$206=2027,1+Assumptions!$F$193,1))/12),Assumptions!X$222)*Assumptions!$C$45+MIN(((Assumptions!$D$96*IF(Assumptions!X$206=2027,1+Assumptions!$F$193,1))/12),4*Assumptions!X$222)*(Assumptions!$C$52+Assumptions!$C$53))-X75</f>
        <v>18413.5397356366</v>
      </c>
      <c r="Y88" s="65" t="n">
        <f aca="false">Y17*(((Assumptions!$D$96*IF(Assumptions!Y$206=2027,1+Assumptions!$F$193,1))/12)*(Assumptions!$C$44+Assumptions!$C$46+Assumptions!$C$47+Assumptions!$C$48+Assumptions!$C$49+Assumptions!$C$50+Assumptions!$C$51+Assumptions!$C$54+Assumptions!$C$55)+MIN(((Assumptions!$D$96*IF(Assumptions!Y$206=2027,1+Assumptions!$F$193,1))/12),Assumptions!Y$222)*Assumptions!$C$45+MIN(((Assumptions!$D$96*IF(Assumptions!Y$206=2027,1+Assumptions!$F$193,1))/12),4*Assumptions!Y$222)*(Assumptions!$C$52+Assumptions!$C$53))-Y75</f>
        <v>18413.539886974</v>
      </c>
      <c r="Z88" s="65" t="n">
        <f aca="false">Z17*(((Assumptions!$D$96*IF(Assumptions!Z$206=2027,1+Assumptions!$F$193,1))/12)*(Assumptions!$C$44+Assumptions!$C$46+Assumptions!$C$47+Assumptions!$C$48+Assumptions!$C$49+Assumptions!$C$50+Assumptions!$C$51+Assumptions!$C$54+Assumptions!$C$55)+MIN(((Assumptions!$D$96*IF(Assumptions!Z$206=2027,1+Assumptions!$F$193,1))/12),Assumptions!Z$222)*Assumptions!$C$45+MIN(((Assumptions!$D$96*IF(Assumptions!Z$206=2027,1+Assumptions!$F$193,1))/12),4*Assumptions!Z$222)*(Assumptions!$C$52+Assumptions!$C$53))-Z75</f>
        <v>18413.5398729565</v>
      </c>
      <c r="AA88" s="65" t="n">
        <f aca="false">AA17*(((Assumptions!$D$96*IF(Assumptions!AA$206=2027,1+Assumptions!$F$193,1))/12)*(Assumptions!$C$44+Assumptions!$C$46+Assumptions!$C$47+Assumptions!$C$48+Assumptions!$C$49+Assumptions!$C$50+Assumptions!$C$51+Assumptions!$C$54+Assumptions!$C$55)+MIN(((Assumptions!$D$96*IF(Assumptions!AA$206=2027,1+Assumptions!$F$193,1))/12),Assumptions!AA$222)*Assumptions!$C$45+MIN(((Assumptions!$D$96*IF(Assumptions!AA$206=2027,1+Assumptions!$F$193,1))/12),4*Assumptions!AA$222)*(Assumptions!$C$52+Assumptions!$C$53))-AA75</f>
        <v>18413.5398706678</v>
      </c>
      <c r="AB88" s="65" t="n">
        <f aca="false">AB17*(((Assumptions!$D$96*IF(Assumptions!AB$206=2027,1+Assumptions!$F$193,1))/12)*(Assumptions!$C$44+Assumptions!$C$46+Assumptions!$C$47+Assumptions!$C$48+Assumptions!$C$49+Assumptions!$C$50+Assumptions!$C$51+Assumptions!$C$54+Assumptions!$C$55)+MIN(((Assumptions!$D$96*IF(Assumptions!AB$206=2027,1+Assumptions!$F$193,1))/12),Assumptions!AB$222)*Assumptions!$C$45+MIN(((Assumptions!$D$96*IF(Assumptions!AB$206=2027,1+Assumptions!$F$193,1))/12),4*Assumptions!AB$222)*(Assumptions!$C$52+Assumptions!$C$53))-AB75</f>
        <v>18413.5398709396</v>
      </c>
    </row>
    <row r="89" customFormat="false" ht="15" hidden="false" customHeight="false" outlineLevel="0" collapsed="false">
      <c r="A89" s="28" t="s">
        <v>1174</v>
      </c>
      <c r="B89" s="62"/>
      <c r="C89" s="64" t="n">
        <f aca="false">SUM(E89:P89)</f>
        <v>44633.1466177449</v>
      </c>
      <c r="D89" s="64" t="n">
        <f aca="false">SUM(Q89:AB89)</f>
        <v>48128.7734967817</v>
      </c>
      <c r="E89" s="65" t="n">
        <f aca="false">E18*(((Assumptions!$D$97*IF(Assumptions!E$206=2027,1+Assumptions!$F$193,1))/12)*(Assumptions!$C$44+Assumptions!$C$46+Assumptions!$C$47+Assumptions!$C$48+Assumptions!$C$49+Assumptions!$C$50+Assumptions!$C$51+Assumptions!$C$54+Assumptions!$C$55)+MIN(((Assumptions!$D$97*IF(Assumptions!E$206=2027,1+Assumptions!$F$193,1))/12),Assumptions!E$222)*Assumptions!$C$45+MIN(((Assumptions!$D$97*IF(Assumptions!E$206=2027,1+Assumptions!$F$193,1))/12),4*Assumptions!E$222)*(Assumptions!$C$52+Assumptions!$C$53))-E76</f>
        <v>4325.78996331174</v>
      </c>
      <c r="F89" s="65" t="n">
        <f aca="false">F18*(((Assumptions!$D$97*IF(Assumptions!F$206=2027,1+Assumptions!$F$193,1))/12)*(Assumptions!$C$44+Assumptions!$C$46+Assumptions!$C$47+Assumptions!$C$48+Assumptions!$C$49+Assumptions!$C$50+Assumptions!$C$51+Assumptions!$C$54+Assumptions!$C$55)+MIN(((Assumptions!$D$97*IF(Assumptions!F$206=2027,1+Assumptions!$F$193,1))/12),Assumptions!F$222)*Assumptions!$C$45+MIN(((Assumptions!$D$97*IF(Assumptions!F$206=2027,1+Assumptions!$F$193,1))/12),4*Assumptions!F$222)*(Assumptions!$C$52+Assumptions!$C$53))-F76</f>
        <v>4325.78996331174</v>
      </c>
      <c r="G89" s="65" t="n">
        <f aca="false">G18*(((Assumptions!$D$97*IF(Assumptions!G$206=2027,1+Assumptions!$F$193,1))/12)*(Assumptions!$C$44+Assumptions!$C$46+Assumptions!$C$47+Assumptions!$C$48+Assumptions!$C$49+Assumptions!$C$50+Assumptions!$C$51+Assumptions!$C$54+Assumptions!$C$55)+MIN(((Assumptions!$D$97*IF(Assumptions!G$206=2027,1+Assumptions!$F$193,1))/12),Assumptions!G$222)*Assumptions!$C$45+MIN(((Assumptions!$D$97*IF(Assumptions!G$206=2027,1+Assumptions!$F$193,1))/12),4*Assumptions!G$222)*(Assumptions!$C$52+Assumptions!$C$53))-G76</f>
        <v>4325.78996331174</v>
      </c>
      <c r="H89" s="65" t="n">
        <f aca="false">H18*(((Assumptions!$D$97*IF(Assumptions!H$206=2027,1+Assumptions!$F$193,1))/12)*(Assumptions!$C$44+Assumptions!$C$46+Assumptions!$C$47+Assumptions!$C$48+Assumptions!$C$49+Assumptions!$C$50+Assumptions!$C$51+Assumptions!$C$54+Assumptions!$C$55)+MIN(((Assumptions!$D$97*IF(Assumptions!H$206=2027,1+Assumptions!$F$193,1))/12),Assumptions!H$222)*Assumptions!$C$45+MIN(((Assumptions!$D$97*IF(Assumptions!H$206=2027,1+Assumptions!$F$193,1))/12),4*Assumptions!H$222)*(Assumptions!$C$52+Assumptions!$C$53))-H76</f>
        <v>4325.78996331174</v>
      </c>
      <c r="I89" s="65" t="n">
        <f aca="false">I18*(((Assumptions!$D$97*IF(Assumptions!I$206=2027,1+Assumptions!$F$193,1))/12)*(Assumptions!$C$44+Assumptions!$C$46+Assumptions!$C$47+Assumptions!$C$48+Assumptions!$C$49+Assumptions!$C$50+Assumptions!$C$51+Assumptions!$C$54+Assumptions!$C$55)+MIN(((Assumptions!$D$97*IF(Assumptions!I$206=2027,1+Assumptions!$F$193,1))/12),Assumptions!I$222)*Assumptions!$C$45+MIN(((Assumptions!$D$97*IF(Assumptions!I$206=2027,1+Assumptions!$F$193,1))/12),4*Assumptions!I$222)*(Assumptions!$C$52+Assumptions!$C$53))-I76</f>
        <v>4325.78996331174</v>
      </c>
      <c r="J89" s="65" t="n">
        <f aca="false">J18*(((Assumptions!$D$97*IF(Assumptions!J$206=2027,1+Assumptions!$F$193,1))/12)*(Assumptions!$C$44+Assumptions!$C$46+Assumptions!$C$47+Assumptions!$C$48+Assumptions!$C$49+Assumptions!$C$50+Assumptions!$C$51+Assumptions!$C$54+Assumptions!$C$55)+MIN(((Assumptions!$D$97*IF(Assumptions!J$206=2027,1+Assumptions!$F$193,1))/12),Assumptions!J$222)*Assumptions!$C$45+MIN(((Assumptions!$D$97*IF(Assumptions!J$206=2027,1+Assumptions!$F$193,1))/12),4*Assumptions!J$222)*(Assumptions!$C$52+Assumptions!$C$53))-J76</f>
        <v>4248.90324537145</v>
      </c>
      <c r="K89" s="65" t="n">
        <f aca="false">K18*(((Assumptions!$D$97*IF(Assumptions!K$206=2027,1+Assumptions!$F$193,1))/12)*(Assumptions!$C$44+Assumptions!$C$46+Assumptions!$C$47+Assumptions!$C$48+Assumptions!$C$49+Assumptions!$C$50+Assumptions!$C$51+Assumptions!$C$54+Assumptions!$C$55)+MIN(((Assumptions!$D$97*IF(Assumptions!K$206=2027,1+Assumptions!$F$193,1))/12),Assumptions!K$222)*Assumptions!$C$45+MIN(((Assumptions!$D$97*IF(Assumptions!K$206=2027,1+Assumptions!$F$193,1))/12),4*Assumptions!K$222)*(Assumptions!$C$52+Assumptions!$C$53))-K76</f>
        <v>3186.67743402859</v>
      </c>
      <c r="L89" s="65" t="n">
        <f aca="false">L18*(((Assumptions!$D$97*IF(Assumptions!L$206=2027,1+Assumptions!$F$193,1))/12)*(Assumptions!$C$44+Assumptions!$C$46+Assumptions!$C$47+Assumptions!$C$48+Assumptions!$C$49+Assumptions!$C$50+Assumptions!$C$51+Assumptions!$C$54+Assumptions!$C$55)+MIN(((Assumptions!$D$97*IF(Assumptions!L$206=2027,1+Assumptions!$F$193,1))/12),Assumptions!L$222)*Assumptions!$C$45+MIN(((Assumptions!$D$97*IF(Assumptions!L$206=2027,1+Assumptions!$F$193,1))/12),4*Assumptions!L$222)*(Assumptions!$C$52+Assumptions!$C$53))-L76</f>
        <v>3186.67743402859</v>
      </c>
      <c r="M89" s="65" t="n">
        <f aca="false">M18*(((Assumptions!$D$97*IF(Assumptions!M$206=2027,1+Assumptions!$F$193,1))/12)*(Assumptions!$C$44+Assumptions!$C$46+Assumptions!$C$47+Assumptions!$C$48+Assumptions!$C$49+Assumptions!$C$50+Assumptions!$C$51+Assumptions!$C$54+Assumptions!$C$55)+MIN(((Assumptions!$D$97*IF(Assumptions!M$206=2027,1+Assumptions!$F$193,1))/12),Assumptions!M$222)*Assumptions!$C$45+MIN(((Assumptions!$D$97*IF(Assumptions!M$206=2027,1+Assumptions!$F$193,1))/12),4*Assumptions!M$222)*(Assumptions!$C$52+Assumptions!$C$53))-M76</f>
        <v>3133.56614346144</v>
      </c>
      <c r="N89" s="65" t="n">
        <f aca="false">N18*(((Assumptions!$D$97*IF(Assumptions!N$206=2027,1+Assumptions!$F$193,1))/12)*(Assumptions!$C$44+Assumptions!$C$46+Assumptions!$C$47+Assumptions!$C$48+Assumptions!$C$49+Assumptions!$C$50+Assumptions!$C$51+Assumptions!$C$54+Assumptions!$C$55)+MIN(((Assumptions!$D$97*IF(Assumptions!N$206=2027,1+Assumptions!$F$193,1))/12),Assumptions!N$222)*Assumptions!$C$45+MIN(((Assumptions!$D$97*IF(Assumptions!N$206=2027,1+Assumptions!$F$193,1))/12),4*Assumptions!N$222)*(Assumptions!$C$52+Assumptions!$C$53))-N76</f>
        <v>3081.34004107042</v>
      </c>
      <c r="O89" s="65" t="n">
        <f aca="false">O18*(((Assumptions!$D$97*IF(Assumptions!O$206=2027,1+Assumptions!$F$193,1))/12)*(Assumptions!$C$44+Assumptions!$C$46+Assumptions!$C$47+Assumptions!$C$48+Assumptions!$C$49+Assumptions!$C$50+Assumptions!$C$51+Assumptions!$C$54+Assumptions!$C$55)+MIN(((Assumptions!$D$97*IF(Assumptions!O$206=2027,1+Assumptions!$F$193,1))/12),Assumptions!O$222)*Assumptions!$C$45+MIN(((Assumptions!$D$97*IF(Assumptions!O$206=2027,1+Assumptions!$F$193,1))/12),4*Assumptions!O$222)*(Assumptions!$C$52+Assumptions!$C$53))-O76</f>
        <v>3083.09566428639</v>
      </c>
      <c r="P89" s="65" t="n">
        <f aca="false">P18*(((Assumptions!$D$97*IF(Assumptions!P$206=2027,1+Assumptions!$F$193,1))/12)*(Assumptions!$C$44+Assumptions!$C$46+Assumptions!$C$47+Assumptions!$C$48+Assumptions!$C$49+Assumptions!$C$50+Assumptions!$C$51+Assumptions!$C$54+Assumptions!$C$55)+MIN(((Assumptions!$D$97*IF(Assumptions!P$206=2027,1+Assumptions!$F$193,1))/12),Assumptions!P$222)*Assumptions!$C$45+MIN(((Assumptions!$D$97*IF(Assumptions!P$206=2027,1+Assumptions!$F$193,1))/12),4*Assumptions!P$222)*(Assumptions!$C$52+Assumptions!$C$53))-P76</f>
        <v>3083.93683893931</v>
      </c>
      <c r="Q89" s="65" t="n">
        <f aca="false">Q18*(((Assumptions!$D$97*IF(Assumptions!Q$206=2027,1+Assumptions!$F$193,1))/12)*(Assumptions!$C$44+Assumptions!$C$46+Assumptions!$C$47+Assumptions!$C$48+Assumptions!$C$49+Assumptions!$C$50+Assumptions!$C$51+Assumptions!$C$54+Assumptions!$C$55)+MIN(((Assumptions!$D$97*IF(Assumptions!Q$206=2027,1+Assumptions!$F$193,1))/12),Assumptions!Q$222)*Assumptions!$C$45+MIN(((Assumptions!$D$97*IF(Assumptions!Q$206=2027,1+Assumptions!$F$193,1))/12),4*Assumptions!Q$222)*(Assumptions!$C$52+Assumptions!$C$53))-Q76</f>
        <v>3205.15041077338</v>
      </c>
      <c r="R89" s="65" t="n">
        <f aca="false">R18*(((Assumptions!$D$97*IF(Assumptions!R$206=2027,1+Assumptions!$F$193,1))/12)*(Assumptions!$C$44+Assumptions!$C$46+Assumptions!$C$47+Assumptions!$C$48+Assumptions!$C$49+Assumptions!$C$50+Assumptions!$C$51+Assumptions!$C$54+Assumptions!$C$55)+MIN(((Assumptions!$D$97*IF(Assumptions!R$206=2027,1+Assumptions!$F$193,1))/12),Assumptions!R$222)*Assumptions!$C$45+MIN(((Assumptions!$D$97*IF(Assumptions!R$206=2027,1+Assumptions!$F$193,1))/12),4*Assumptions!R$222)*(Assumptions!$C$52+Assumptions!$C$53))-R76</f>
        <v>3205.13658964953</v>
      </c>
      <c r="S89" s="65" t="n">
        <f aca="false">S18*(((Assumptions!$D$97*IF(Assumptions!S$206=2027,1+Assumptions!$F$193,1))/12)*(Assumptions!$C$44+Assumptions!$C$46+Assumptions!$C$47+Assumptions!$C$48+Assumptions!$C$49+Assumptions!$C$50+Assumptions!$C$51+Assumptions!$C$54+Assumptions!$C$55)+MIN(((Assumptions!$D$97*IF(Assumptions!S$206=2027,1+Assumptions!$F$193,1))/12),Assumptions!S$222)*Assumptions!$C$45+MIN(((Assumptions!$D$97*IF(Assumptions!S$206=2027,1+Assumptions!$F$193,1))/12),4*Assumptions!S$222)*(Assumptions!$C$52+Assumptions!$C$53))-S76</f>
        <v>3205.13756969671</v>
      </c>
      <c r="T89" s="65" t="n">
        <f aca="false">T18*(((Assumptions!$D$97*IF(Assumptions!T$206=2027,1+Assumptions!$F$193,1))/12)*(Assumptions!$C$44+Assumptions!$C$46+Assumptions!$C$47+Assumptions!$C$48+Assumptions!$C$49+Assumptions!$C$50+Assumptions!$C$51+Assumptions!$C$54+Assumptions!$C$55)+MIN(((Assumptions!$D$97*IF(Assumptions!T$206=2027,1+Assumptions!$F$193,1))/12),Assumptions!T$222)*Assumptions!$C$45+MIN(((Assumptions!$D$97*IF(Assumptions!T$206=2027,1+Assumptions!$F$193,1))/12),4*Assumptions!T$222)*(Assumptions!$C$52+Assumptions!$C$53))-T76</f>
        <v>4309.12967917146</v>
      </c>
      <c r="U89" s="65" t="n">
        <f aca="false">U18*(((Assumptions!$D$97*IF(Assumptions!U$206=2027,1+Assumptions!$F$193,1))/12)*(Assumptions!$C$44+Assumptions!$C$46+Assumptions!$C$47+Assumptions!$C$48+Assumptions!$C$49+Assumptions!$C$50+Assumptions!$C$51+Assumptions!$C$54+Assumptions!$C$55)+MIN(((Assumptions!$D$97*IF(Assumptions!U$206=2027,1+Assumptions!$F$193,1))/12),Assumptions!U$222)*Assumptions!$C$45+MIN(((Assumptions!$D$97*IF(Assumptions!U$206=2027,1+Assumptions!$F$193,1))/12),4*Assumptions!U$222)*(Assumptions!$C$52+Assumptions!$C$53))-U76</f>
        <v>4290.72979434609</v>
      </c>
      <c r="V89" s="65" t="n">
        <f aca="false">V18*(((Assumptions!$D$97*IF(Assumptions!V$206=2027,1+Assumptions!$F$193,1))/12)*(Assumptions!$C$44+Assumptions!$C$46+Assumptions!$C$47+Assumptions!$C$48+Assumptions!$C$49+Assumptions!$C$50+Assumptions!$C$51+Assumptions!$C$54+Assumptions!$C$55)+MIN(((Assumptions!$D$97*IF(Assumptions!V$206=2027,1+Assumptions!$F$193,1))/12),Assumptions!V$222)*Assumptions!$C$45+MIN(((Assumptions!$D$97*IF(Assumptions!V$206=2027,1+Assumptions!$F$193,1))/12),4*Assumptions!V$222)*(Assumptions!$C$52+Assumptions!$C$53))-V76</f>
        <v>4272.63659060194</v>
      </c>
      <c r="W89" s="65" t="n">
        <f aca="false">W18*(((Assumptions!$D$97*IF(Assumptions!W$206=2027,1+Assumptions!$F$193,1))/12)*(Assumptions!$C$44+Assumptions!$C$46+Assumptions!$C$47+Assumptions!$C$48+Assumptions!$C$49+Assumptions!$C$50+Assumptions!$C$51+Assumptions!$C$54+Assumptions!$C$55)+MIN(((Assumptions!$D$97*IF(Assumptions!W$206=2027,1+Assumptions!$F$193,1))/12),Assumptions!W$222)*Assumptions!$C$45+MIN(((Assumptions!$D$97*IF(Assumptions!W$206=2027,1+Assumptions!$F$193,1))/12),4*Assumptions!W$222)*(Assumptions!$C$52+Assumptions!$C$53))-W76</f>
        <v>4273.24480874476</v>
      </c>
      <c r="X89" s="65" t="n">
        <f aca="false">X18*(((Assumptions!$D$97*IF(Assumptions!X$206=2027,1+Assumptions!$F$193,1))/12)*(Assumptions!$C$44+Assumptions!$C$46+Assumptions!$C$47+Assumptions!$C$48+Assumptions!$C$49+Assumptions!$C$50+Assumptions!$C$51+Assumptions!$C$54+Assumptions!$C$55)+MIN(((Assumptions!$D$97*IF(Assumptions!X$206=2027,1+Assumptions!$F$193,1))/12),Assumptions!X$222)*Assumptions!$C$45+MIN(((Assumptions!$D$97*IF(Assumptions!X$206=2027,1+Assumptions!$F$193,1))/12),4*Assumptions!X$222)*(Assumptions!$C$52+Assumptions!$C$53))-X76</f>
        <v>4273.53622517145</v>
      </c>
      <c r="Y89" s="65" t="n">
        <f aca="false">Y18*(((Assumptions!$D$97*IF(Assumptions!Y$206=2027,1+Assumptions!$F$193,1))/12)*(Assumptions!$C$44+Assumptions!$C$46+Assumptions!$C$47+Assumptions!$C$48+Assumptions!$C$49+Assumptions!$C$50+Assumptions!$C$51+Assumptions!$C$54+Assumptions!$C$55)+MIN(((Assumptions!$D$97*IF(Assumptions!Y$206=2027,1+Assumptions!$F$193,1))/12),Assumptions!Y$222)*Assumptions!$C$45+MIN(((Assumptions!$D$97*IF(Assumptions!Y$206=2027,1+Assumptions!$F$193,1))/12),4*Assumptions!Y$222)*(Assumptions!$C$52+Assumptions!$C$53))-Y76</f>
        <v>4273.52123126196</v>
      </c>
      <c r="Z89" s="65" t="n">
        <f aca="false">Z18*(((Assumptions!$D$97*IF(Assumptions!Z$206=2027,1+Assumptions!$F$193,1))/12)*(Assumptions!$C$44+Assumptions!$C$46+Assumptions!$C$47+Assumptions!$C$48+Assumptions!$C$49+Assumptions!$C$50+Assumptions!$C$51+Assumptions!$C$54+Assumptions!$C$55)+MIN(((Assumptions!$D$97*IF(Assumptions!Z$206=2027,1+Assumptions!$F$193,1))/12),Assumptions!Z$222)*Assumptions!$C$45+MIN(((Assumptions!$D$97*IF(Assumptions!Z$206=2027,1+Assumptions!$F$193,1))/12),4*Assumptions!Z$222)*(Assumptions!$C$52+Assumptions!$C$53))-Z76</f>
        <v>4273.51662422001</v>
      </c>
      <c r="AA89" s="65" t="n">
        <f aca="false">AA18*(((Assumptions!$D$97*IF(Assumptions!AA$206=2027,1+Assumptions!$F$193,1))/12)*(Assumptions!$C$44+Assumptions!$C$46+Assumptions!$C$47+Assumptions!$C$48+Assumptions!$C$49+Assumptions!$C$50+Assumptions!$C$51+Assumptions!$C$54+Assumptions!$C$55)+MIN(((Assumptions!$D$97*IF(Assumptions!AA$206=2027,1+Assumptions!$F$193,1))/12),Assumptions!AA$222)*Assumptions!$C$45+MIN(((Assumptions!$D$97*IF(Assumptions!AA$206=2027,1+Assumptions!$F$193,1))/12),4*Assumptions!AA$222)*(Assumptions!$C$52+Assumptions!$C$53))-AA76</f>
        <v>4273.51695090253</v>
      </c>
      <c r="AB89" s="65" t="n">
        <f aca="false">AB18*(((Assumptions!$D$97*IF(Assumptions!AB$206=2027,1+Assumptions!$F$193,1))/12)*(Assumptions!$C$44+Assumptions!$C$46+Assumptions!$C$47+Assumptions!$C$48+Assumptions!$C$49+Assumptions!$C$50+Assumptions!$C$51+Assumptions!$C$54+Assumptions!$C$55)+MIN(((Assumptions!$D$97*IF(Assumptions!AB$206=2027,1+Assumptions!$F$193,1))/12),Assumptions!AB$222)*Assumptions!$C$45+MIN(((Assumptions!$D$97*IF(Assumptions!AB$206=2027,1+Assumptions!$F$193,1))/12),4*Assumptions!AB$222)*(Assumptions!$C$52+Assumptions!$C$53))-AB76</f>
        <v>4273.51702224185</v>
      </c>
    </row>
    <row r="90" customFormat="false" ht="15" hidden="false" customHeight="false" outlineLevel="0" collapsed="false">
      <c r="A90" s="28" t="s">
        <v>1175</v>
      </c>
      <c r="B90" s="62"/>
      <c r="C90" s="64" t="n">
        <f aca="false">SUM(E90:P90)</f>
        <v>97601.7661620537</v>
      </c>
      <c r="D90" s="64" t="n">
        <f aca="false">SUM(Q90:AB90)</f>
        <v>122311.874793485</v>
      </c>
      <c r="E90" s="65" t="n">
        <f aca="false">E19*(((Assumptions!$D$98*IF(Assumptions!E$206=2027,1+Assumptions!$F$193,1))/12)*(Assumptions!$C$44+Assumptions!$C$46+Assumptions!$C$47+Assumptions!$C$48+Assumptions!$C$49+Assumptions!$C$50+Assumptions!$C$51+Assumptions!$C$54+Assumptions!$C$55)+MIN(((Assumptions!$D$98*IF(Assumptions!E$206=2027,1+Assumptions!$F$193,1))/12),Assumptions!E$222)*Assumptions!$C$45+MIN(((Assumptions!$D$98*IF(Assumptions!E$206=2027,1+Assumptions!$F$193,1))/12),4*Assumptions!E$222)*(Assumptions!$C$52+Assumptions!$C$53))-E77</f>
        <v>6933.77301738754</v>
      </c>
      <c r="F90" s="65" t="n">
        <f aca="false">F19*(((Assumptions!$D$98*IF(Assumptions!F$206=2027,1+Assumptions!$F$193,1))/12)*(Assumptions!$C$44+Assumptions!$C$46+Assumptions!$C$47+Assumptions!$C$48+Assumptions!$C$49+Assumptions!$C$50+Assumptions!$C$51+Assumptions!$C$54+Assumptions!$C$55)+MIN(((Assumptions!$D$98*IF(Assumptions!F$206=2027,1+Assumptions!$F$193,1))/12),Assumptions!F$222)*Assumptions!$C$45+MIN(((Assumptions!$D$98*IF(Assumptions!F$206=2027,1+Assumptions!$F$193,1))/12),4*Assumptions!F$222)*(Assumptions!$C$52+Assumptions!$C$53))-F77</f>
        <v>6933.77301738754</v>
      </c>
      <c r="G90" s="65" t="n">
        <f aca="false">G19*(((Assumptions!$D$98*IF(Assumptions!G$206=2027,1+Assumptions!$F$193,1))/12)*(Assumptions!$C$44+Assumptions!$C$46+Assumptions!$C$47+Assumptions!$C$48+Assumptions!$C$49+Assumptions!$C$50+Assumptions!$C$51+Assumptions!$C$54+Assumptions!$C$55)+MIN(((Assumptions!$D$98*IF(Assumptions!G$206=2027,1+Assumptions!$F$193,1))/12),Assumptions!G$222)*Assumptions!$C$45+MIN(((Assumptions!$D$98*IF(Assumptions!G$206=2027,1+Assumptions!$F$193,1))/12),4*Assumptions!G$222)*(Assumptions!$C$52+Assumptions!$C$53))-G77</f>
        <v>6933.77301738754</v>
      </c>
      <c r="H90" s="65" t="n">
        <f aca="false">H19*(((Assumptions!$D$98*IF(Assumptions!H$206=2027,1+Assumptions!$F$193,1))/12)*(Assumptions!$C$44+Assumptions!$C$46+Assumptions!$C$47+Assumptions!$C$48+Assumptions!$C$49+Assumptions!$C$50+Assumptions!$C$51+Assumptions!$C$54+Assumptions!$C$55)+MIN(((Assumptions!$D$98*IF(Assumptions!H$206=2027,1+Assumptions!$F$193,1))/12),Assumptions!H$222)*Assumptions!$C$45+MIN(((Assumptions!$D$98*IF(Assumptions!H$206=2027,1+Assumptions!$F$193,1))/12),4*Assumptions!H$222)*(Assumptions!$C$52+Assumptions!$C$53))-H77</f>
        <v>8667.21627173442</v>
      </c>
      <c r="I90" s="65" t="n">
        <f aca="false">I19*(((Assumptions!$D$98*IF(Assumptions!I$206=2027,1+Assumptions!$F$193,1))/12)*(Assumptions!$C$44+Assumptions!$C$46+Assumptions!$C$47+Assumptions!$C$48+Assumptions!$C$49+Assumptions!$C$50+Assumptions!$C$51+Assumptions!$C$54+Assumptions!$C$55)+MIN(((Assumptions!$D$98*IF(Assumptions!I$206=2027,1+Assumptions!$F$193,1))/12),Assumptions!I$222)*Assumptions!$C$45+MIN(((Assumptions!$D$98*IF(Assumptions!I$206=2027,1+Assumptions!$F$193,1))/12),4*Assumptions!I$222)*(Assumptions!$C$52+Assumptions!$C$53))-I77</f>
        <v>8667.21627173442</v>
      </c>
      <c r="J90" s="65" t="n">
        <f aca="false">J19*(((Assumptions!$D$98*IF(Assumptions!J$206=2027,1+Assumptions!$F$193,1))/12)*(Assumptions!$C$44+Assumptions!$C$46+Assumptions!$C$47+Assumptions!$C$48+Assumptions!$C$49+Assumptions!$C$50+Assumptions!$C$51+Assumptions!$C$54+Assumptions!$C$55)+MIN(((Assumptions!$D$98*IF(Assumptions!J$206=2027,1+Assumptions!$F$193,1))/12),Assumptions!J$222)*Assumptions!$C$45+MIN(((Assumptions!$D$98*IF(Assumptions!J$206=2027,1+Assumptions!$F$193,1))/12),4*Assumptions!J$222)*(Assumptions!$C$52+Assumptions!$C$53))-J77</f>
        <v>8636.37121743301</v>
      </c>
      <c r="K90" s="65" t="n">
        <f aca="false">K19*(((Assumptions!$D$98*IF(Assumptions!K$206=2027,1+Assumptions!$F$193,1))/12)*(Assumptions!$C$44+Assumptions!$C$46+Assumptions!$C$47+Assumptions!$C$48+Assumptions!$C$49+Assumptions!$C$50+Assumptions!$C$51+Assumptions!$C$54+Assumptions!$C$55)+MIN(((Assumptions!$D$98*IF(Assumptions!K$206=2027,1+Assumptions!$F$193,1))/12),Assumptions!K$222)*Assumptions!$C$45+MIN(((Assumptions!$D$98*IF(Assumptions!K$206=2027,1+Assumptions!$F$193,1))/12),4*Assumptions!K$222)*(Assumptions!$C$52+Assumptions!$C$53))-K77</f>
        <v>8636.37121743301</v>
      </c>
      <c r="L90" s="65" t="n">
        <f aca="false">L19*(((Assumptions!$D$98*IF(Assumptions!L$206=2027,1+Assumptions!$F$193,1))/12)*(Assumptions!$C$44+Assumptions!$C$46+Assumptions!$C$47+Assumptions!$C$48+Assumptions!$C$49+Assumptions!$C$50+Assumptions!$C$51+Assumptions!$C$54+Assumptions!$C$55)+MIN(((Assumptions!$D$98*IF(Assumptions!L$206=2027,1+Assumptions!$F$193,1))/12),Assumptions!L$222)*Assumptions!$C$45+MIN(((Assumptions!$D$98*IF(Assumptions!L$206=2027,1+Assumptions!$F$193,1))/12),4*Assumptions!L$222)*(Assumptions!$C$52+Assumptions!$C$53))-L77</f>
        <v>8636.37121743301</v>
      </c>
      <c r="M90" s="65" t="n">
        <f aca="false">M19*(((Assumptions!$D$98*IF(Assumptions!M$206=2027,1+Assumptions!$F$193,1))/12)*(Assumptions!$C$44+Assumptions!$C$46+Assumptions!$C$47+Assumptions!$C$48+Assumptions!$C$49+Assumptions!$C$50+Assumptions!$C$51+Assumptions!$C$54+Assumptions!$C$55)+MIN(((Assumptions!$D$98*IF(Assumptions!M$206=2027,1+Assumptions!$F$193,1))/12),Assumptions!M$222)*Assumptions!$C$45+MIN(((Assumptions!$D$98*IF(Assumptions!M$206=2027,1+Assumptions!$F$193,1))/12),4*Assumptions!M$222)*(Assumptions!$C$52+Assumptions!$C$53))-M77</f>
        <v>8492.43169714247</v>
      </c>
      <c r="N90" s="65" t="n">
        <f aca="false">N19*(((Assumptions!$D$98*IF(Assumptions!N$206=2027,1+Assumptions!$F$193,1))/12)*(Assumptions!$C$44+Assumptions!$C$46+Assumptions!$C$47+Assumptions!$C$48+Assumptions!$C$49+Assumptions!$C$50+Assumptions!$C$51+Assumptions!$C$54+Assumptions!$C$55)+MIN(((Assumptions!$D$98*IF(Assumptions!N$206=2027,1+Assumptions!$F$193,1))/12),Assumptions!N$222)*Assumptions!$C$45+MIN(((Assumptions!$D$98*IF(Assumptions!N$206=2027,1+Assumptions!$F$193,1))/12),4*Assumptions!N$222)*(Assumptions!$C$52+Assumptions!$C$53))-N77</f>
        <v>8350.89116885676</v>
      </c>
      <c r="O90" s="65" t="n">
        <f aca="false">O19*(((Assumptions!$D$98*IF(Assumptions!O$206=2027,1+Assumptions!$F$193,1))/12)*(Assumptions!$C$44+Assumptions!$C$46+Assumptions!$C$47+Assumptions!$C$48+Assumptions!$C$49+Assumptions!$C$50+Assumptions!$C$51+Assumptions!$C$54+Assumptions!$C$55)+MIN(((Assumptions!$D$98*IF(Assumptions!O$206=2027,1+Assumptions!$F$193,1))/12),Assumptions!O$222)*Assumptions!$C$45+MIN(((Assumptions!$D$98*IF(Assumptions!O$206=2027,1+Assumptions!$F$193,1))/12),4*Assumptions!O$222)*(Assumptions!$C$52+Assumptions!$C$53))-O77</f>
        <v>8355.64916966636</v>
      </c>
      <c r="P90" s="65" t="n">
        <f aca="false">P19*(((Assumptions!$D$98*IF(Assumptions!P$206=2027,1+Assumptions!$F$193,1))/12)*(Assumptions!$C$44+Assumptions!$C$46+Assumptions!$C$47+Assumptions!$C$48+Assumptions!$C$49+Assumptions!$C$50+Assumptions!$C$51+Assumptions!$C$54+Assumptions!$C$55)+MIN(((Assumptions!$D$98*IF(Assumptions!P$206=2027,1+Assumptions!$F$193,1))/12),Assumptions!P$222)*Assumptions!$C$45+MIN(((Assumptions!$D$98*IF(Assumptions!P$206=2027,1+Assumptions!$F$193,1))/12),4*Assumptions!P$222)*(Assumptions!$C$52+Assumptions!$C$53))-P77</f>
        <v>8357.92887845763</v>
      </c>
      <c r="Q90" s="65" t="n">
        <f aca="false">Q19*(((Assumptions!$D$98*IF(Assumptions!Q$206=2027,1+Assumptions!$F$193,1))/12)*(Assumptions!$C$44+Assumptions!$C$46+Assumptions!$C$47+Assumptions!$C$48+Assumptions!$C$49+Assumptions!$C$50+Assumptions!$C$51+Assumptions!$C$54+Assumptions!$C$55)+MIN(((Assumptions!$D$98*IF(Assumptions!Q$206=2027,1+Assumptions!$F$193,1))/12),Assumptions!Q$222)*Assumptions!$C$45+MIN(((Assumptions!$D$98*IF(Assumptions!Q$206=2027,1+Assumptions!$F$193,1))/12),4*Assumptions!Q$222)*(Assumptions!$C$52+Assumptions!$C$53))-Q77</f>
        <v>8607.67796018503</v>
      </c>
      <c r="R90" s="65" t="n">
        <f aca="false">R19*(((Assumptions!$D$98*IF(Assumptions!R$206=2027,1+Assumptions!$F$193,1))/12)*(Assumptions!$C$44+Assumptions!$C$46+Assumptions!$C$47+Assumptions!$C$48+Assumptions!$C$49+Assumptions!$C$50+Assumptions!$C$51+Assumptions!$C$54+Assumptions!$C$55)+MIN(((Assumptions!$D$98*IF(Assumptions!R$206=2027,1+Assumptions!$F$193,1))/12),Assumptions!R$222)*Assumptions!$C$45+MIN(((Assumptions!$D$98*IF(Assumptions!R$206=2027,1+Assumptions!$F$193,1))/12),4*Assumptions!R$222)*(Assumptions!$C$52+Assumptions!$C$53))-R77</f>
        <v>10386.5539334</v>
      </c>
      <c r="S90" s="65" t="n">
        <f aca="false">S19*(((Assumptions!$D$98*IF(Assumptions!S$206=2027,1+Assumptions!$F$193,1))/12)*(Assumptions!$C$44+Assumptions!$C$46+Assumptions!$C$47+Assumptions!$C$48+Assumptions!$C$49+Assumptions!$C$50+Assumptions!$C$51+Assumptions!$C$54+Assumptions!$C$55)+MIN(((Assumptions!$D$98*IF(Assumptions!S$206=2027,1+Assumptions!$F$193,1))/12),Assumptions!S$222)*Assumptions!$C$45+MIN(((Assumptions!$D$98*IF(Assumptions!S$206=2027,1+Assumptions!$F$193,1))/12),4*Assumptions!S$222)*(Assumptions!$C$52+Assumptions!$C$53))-S77</f>
        <v>10356.908013877</v>
      </c>
      <c r="T90" s="65" t="n">
        <f aca="false">T19*(((Assumptions!$D$98*IF(Assumptions!T$206=2027,1+Assumptions!$F$193,1))/12)*(Assumptions!$C$44+Assumptions!$C$46+Assumptions!$C$47+Assumptions!$C$48+Assumptions!$C$49+Assumptions!$C$50+Assumptions!$C$51+Assumptions!$C$54+Assumptions!$C$55)+MIN(((Assumptions!$D$98*IF(Assumptions!T$206=2027,1+Assumptions!$F$193,1))/12),Assumptions!T$222)*Assumptions!$C$45+MIN(((Assumptions!$D$98*IF(Assumptions!T$206=2027,1+Assumptions!$F$193,1))/12),4*Assumptions!T$222)*(Assumptions!$C$52+Assumptions!$C$53))-T77</f>
        <v>10327.7541796488</v>
      </c>
      <c r="U90" s="65" t="n">
        <f aca="false">U19*(((Assumptions!$D$98*IF(Assumptions!U$206=2027,1+Assumptions!$F$193,1))/12)*(Assumptions!$C$44+Assumptions!$C$46+Assumptions!$C$47+Assumptions!$C$48+Assumptions!$C$49+Assumptions!$C$50+Assumptions!$C$51+Assumptions!$C$54+Assumptions!$C$55)+MIN(((Assumptions!$D$98*IF(Assumptions!U$206=2027,1+Assumptions!$F$193,1))/12),Assumptions!U$222)*Assumptions!$C$45+MIN(((Assumptions!$D$98*IF(Assumptions!U$206=2027,1+Assumptions!$F$193,1))/12),4*Assumptions!U$222)*(Assumptions!$C$52+Assumptions!$C$53))-U77</f>
        <v>10328.7341755446</v>
      </c>
      <c r="V90" s="65" t="n">
        <f aca="false">V19*(((Assumptions!$D$98*IF(Assumptions!V$206=2027,1+Assumptions!$F$193,1))/12)*(Assumptions!$C$44+Assumptions!$C$46+Assumptions!$C$47+Assumptions!$C$48+Assumptions!$C$49+Assumptions!$C$50+Assumptions!$C$51+Assumptions!$C$54+Assumptions!$C$55)+MIN(((Assumptions!$D$98*IF(Assumptions!V$206=2027,1+Assumptions!$F$193,1))/12),Assumptions!V$222)*Assumptions!$C$45+MIN(((Assumptions!$D$98*IF(Assumptions!V$206=2027,1+Assumptions!$F$193,1))/12),4*Assumptions!V$222)*(Assumptions!$C$52+Assumptions!$C$53))-V77</f>
        <v>10329.2037395168</v>
      </c>
      <c r="W90" s="65" t="n">
        <f aca="false">W19*(((Assumptions!$D$98*IF(Assumptions!W$206=2027,1+Assumptions!$F$193,1))/12)*(Assumptions!$C$44+Assumptions!$C$46+Assumptions!$C$47+Assumptions!$C$48+Assumptions!$C$49+Assumptions!$C$50+Assumptions!$C$51+Assumptions!$C$54+Assumptions!$C$55)+MIN(((Assumptions!$D$98*IF(Assumptions!W$206=2027,1+Assumptions!$F$193,1))/12),Assumptions!W$222)*Assumptions!$C$45+MIN(((Assumptions!$D$98*IF(Assumptions!W$206=2027,1+Assumptions!$F$193,1))/12),4*Assumptions!W$222)*(Assumptions!$C$52+Assumptions!$C$53))-W77</f>
        <v>10329.1795801857</v>
      </c>
      <c r="X90" s="65" t="n">
        <f aca="false">X19*(((Assumptions!$D$98*IF(Assumptions!X$206=2027,1+Assumptions!$F$193,1))/12)*(Assumptions!$C$44+Assumptions!$C$46+Assumptions!$C$47+Assumptions!$C$48+Assumptions!$C$49+Assumptions!$C$50+Assumptions!$C$51+Assumptions!$C$54+Assumptions!$C$55)+MIN(((Assumptions!$D$98*IF(Assumptions!X$206=2027,1+Assumptions!$F$193,1))/12),Assumptions!X$222)*Assumptions!$C$45+MIN(((Assumptions!$D$98*IF(Assumptions!X$206=2027,1+Assumptions!$F$193,1))/12),4*Assumptions!X$222)*(Assumptions!$C$52+Assumptions!$C$53))-X77</f>
        <v>10329.172156775</v>
      </c>
      <c r="Y90" s="65" t="n">
        <f aca="false">Y19*(((Assumptions!$D$98*IF(Assumptions!Y$206=2027,1+Assumptions!$F$193,1))/12)*(Assumptions!$C$44+Assumptions!$C$46+Assumptions!$C$47+Assumptions!$C$48+Assumptions!$C$49+Assumptions!$C$50+Assumptions!$C$51+Assumptions!$C$54+Assumptions!$C$55)+MIN(((Assumptions!$D$98*IF(Assumptions!Y$206=2027,1+Assumptions!$F$193,1))/12),Assumptions!Y$222)*Assumptions!$C$45+MIN(((Assumptions!$D$98*IF(Assumptions!Y$206=2027,1+Assumptions!$F$193,1))/12),4*Assumptions!Y$222)*(Assumptions!$C$52+Assumptions!$C$53))-Y77</f>
        <v>10329.172683154</v>
      </c>
      <c r="Z90" s="65" t="n">
        <f aca="false">Z19*(((Assumptions!$D$98*IF(Assumptions!Z$206=2027,1+Assumptions!$F$193,1))/12)*(Assumptions!$C$44+Assumptions!$C$46+Assumptions!$C$47+Assumptions!$C$48+Assumptions!$C$49+Assumptions!$C$50+Assumptions!$C$51+Assumptions!$C$54+Assumptions!$C$55)+MIN(((Assumptions!$D$98*IF(Assumptions!Z$206=2027,1+Assumptions!$F$193,1))/12),Assumptions!Z$222)*Assumptions!$C$45+MIN(((Assumptions!$D$98*IF(Assumptions!Z$206=2027,1+Assumptions!$F$193,1))/12),4*Assumptions!Z$222)*(Assumptions!$C$52+Assumptions!$C$53))-Z77</f>
        <v>10329.1727981046</v>
      </c>
      <c r="AA90" s="65" t="n">
        <f aca="false">AA19*(((Assumptions!$D$98*IF(Assumptions!AA$206=2027,1+Assumptions!$F$193,1))/12)*(Assumptions!$C$44+Assumptions!$C$46+Assumptions!$C$47+Assumptions!$C$48+Assumptions!$C$49+Assumptions!$C$50+Assumptions!$C$51+Assumptions!$C$54+Assumptions!$C$55)+MIN(((Assumptions!$D$98*IF(Assumptions!AA$206=2027,1+Assumptions!$F$193,1))/12),Assumptions!AA$222)*Assumptions!$C$45+MIN(((Assumptions!$D$98*IF(Assumptions!AA$206=2027,1+Assumptions!$F$193,1))/12),4*Assumptions!AA$222)*(Assumptions!$C$52+Assumptions!$C$53))-AA77</f>
        <v>10329.1727874157</v>
      </c>
      <c r="AB90" s="65" t="n">
        <f aca="false">AB19*(((Assumptions!$D$98*IF(Assumptions!AB$206=2027,1+Assumptions!$F$193,1))/12)*(Assumptions!$C$44+Assumptions!$C$46+Assumptions!$C$47+Assumptions!$C$48+Assumptions!$C$49+Assumptions!$C$50+Assumptions!$C$51+Assumptions!$C$54+Assumptions!$C$55)+MIN(((Assumptions!$D$98*IF(Assumptions!AB$206=2027,1+Assumptions!$F$193,1))/12),Assumptions!AB$222)*Assumptions!$C$45+MIN(((Assumptions!$D$98*IF(Assumptions!AB$206=2027,1+Assumptions!$F$193,1))/12),4*Assumptions!AB$222)*(Assumptions!$C$52+Assumptions!$C$53))-AB77</f>
        <v>10329.172785678</v>
      </c>
    </row>
    <row r="91" customFormat="false" ht="15" hidden="false" customHeight="false" outlineLevel="0" collapsed="false">
      <c r="A91" s="28" t="s">
        <v>1176</v>
      </c>
      <c r="B91" s="62"/>
      <c r="C91" s="64" t="n">
        <f aca="false">SUM(E91:P91)</f>
        <v>94947.2027205465</v>
      </c>
      <c r="D91" s="64" t="n">
        <f aca="false">SUM(Q91:AB91)</f>
        <v>96801.4403138573</v>
      </c>
      <c r="E91" s="65" t="n">
        <f aca="false">E20*(((Assumptions!$D$99*IF(Assumptions!E$206=2027,1+Assumptions!$F$193,1))/12)*(Assumptions!$C$44+Assumptions!$C$46+Assumptions!$C$47+Assumptions!$C$48+Assumptions!$C$49+Assumptions!$C$50+Assumptions!$C$51+Assumptions!$C$54+Assumptions!$C$55)+MIN(((Assumptions!$D$99*IF(Assumptions!E$206=2027,1+Assumptions!$F$193,1))/12),Assumptions!E$222)*Assumptions!$C$45+MIN(((Assumptions!$D$99*IF(Assumptions!E$206=2027,1+Assumptions!$F$193,1))/12),4*Assumptions!E$222)*(Assumptions!$C$52+Assumptions!$C$53))-E78</f>
        <v>7942.92166666667</v>
      </c>
      <c r="F91" s="65" t="n">
        <f aca="false">F20*(((Assumptions!$D$99*IF(Assumptions!F$206=2027,1+Assumptions!$F$193,1))/12)*(Assumptions!$C$44+Assumptions!$C$46+Assumptions!$C$47+Assumptions!$C$48+Assumptions!$C$49+Assumptions!$C$50+Assumptions!$C$51+Assumptions!$C$54+Assumptions!$C$55)+MIN(((Assumptions!$D$99*IF(Assumptions!F$206=2027,1+Assumptions!$F$193,1))/12),Assumptions!F$222)*Assumptions!$C$45+MIN(((Assumptions!$D$99*IF(Assumptions!F$206=2027,1+Assumptions!$F$193,1))/12),4*Assumptions!F$222)*(Assumptions!$C$52+Assumptions!$C$53))-F78</f>
        <v>7942.92166666667</v>
      </c>
      <c r="G91" s="65" t="n">
        <f aca="false">G20*(((Assumptions!$D$99*IF(Assumptions!G$206=2027,1+Assumptions!$F$193,1))/12)*(Assumptions!$C$44+Assumptions!$C$46+Assumptions!$C$47+Assumptions!$C$48+Assumptions!$C$49+Assumptions!$C$50+Assumptions!$C$51+Assumptions!$C$54+Assumptions!$C$55)+MIN(((Assumptions!$D$99*IF(Assumptions!G$206=2027,1+Assumptions!$F$193,1))/12),Assumptions!G$222)*Assumptions!$C$45+MIN(((Assumptions!$D$99*IF(Assumptions!G$206=2027,1+Assumptions!$F$193,1))/12),4*Assumptions!G$222)*(Assumptions!$C$52+Assumptions!$C$53))-G78</f>
        <v>7942.92166666667</v>
      </c>
      <c r="H91" s="65" t="n">
        <f aca="false">H20*(((Assumptions!$D$99*IF(Assumptions!H$206=2027,1+Assumptions!$F$193,1))/12)*(Assumptions!$C$44+Assumptions!$C$46+Assumptions!$C$47+Assumptions!$C$48+Assumptions!$C$49+Assumptions!$C$50+Assumptions!$C$51+Assumptions!$C$54+Assumptions!$C$55)+MIN(((Assumptions!$D$99*IF(Assumptions!H$206=2027,1+Assumptions!$F$193,1))/12),Assumptions!H$222)*Assumptions!$C$45+MIN(((Assumptions!$D$99*IF(Assumptions!H$206=2027,1+Assumptions!$F$193,1))/12),4*Assumptions!H$222)*(Assumptions!$C$52+Assumptions!$C$53))-H78</f>
        <v>7942.92166666667</v>
      </c>
      <c r="I91" s="65" t="n">
        <f aca="false">I20*(((Assumptions!$D$99*IF(Assumptions!I$206=2027,1+Assumptions!$F$193,1))/12)*(Assumptions!$C$44+Assumptions!$C$46+Assumptions!$C$47+Assumptions!$C$48+Assumptions!$C$49+Assumptions!$C$50+Assumptions!$C$51+Assumptions!$C$54+Assumptions!$C$55)+MIN(((Assumptions!$D$99*IF(Assumptions!I$206=2027,1+Assumptions!$F$193,1))/12),Assumptions!I$222)*Assumptions!$C$45+MIN(((Assumptions!$D$99*IF(Assumptions!I$206=2027,1+Assumptions!$F$193,1))/12),4*Assumptions!I$222)*(Assumptions!$C$52+Assumptions!$C$53))-I78</f>
        <v>7942.92166666667</v>
      </c>
      <c r="J91" s="65" t="n">
        <f aca="false">J20*(((Assumptions!$D$99*IF(Assumptions!J$206=2027,1+Assumptions!$F$193,1))/12)*(Assumptions!$C$44+Assumptions!$C$46+Assumptions!$C$47+Assumptions!$C$48+Assumptions!$C$49+Assumptions!$C$50+Assumptions!$C$51+Assumptions!$C$54+Assumptions!$C$55)+MIN(((Assumptions!$D$99*IF(Assumptions!J$206=2027,1+Assumptions!$F$193,1))/12),Assumptions!J$222)*Assumptions!$C$45+MIN(((Assumptions!$D$99*IF(Assumptions!J$206=2027,1+Assumptions!$F$193,1))/12),4*Assumptions!J$222)*(Assumptions!$C$52+Assumptions!$C$53))-J78</f>
        <v>7942.92166666667</v>
      </c>
      <c r="K91" s="65" t="n">
        <f aca="false">K20*(((Assumptions!$D$99*IF(Assumptions!K$206=2027,1+Assumptions!$F$193,1))/12)*(Assumptions!$C$44+Assumptions!$C$46+Assumptions!$C$47+Assumptions!$C$48+Assumptions!$C$49+Assumptions!$C$50+Assumptions!$C$51+Assumptions!$C$54+Assumptions!$C$55)+MIN(((Assumptions!$D$99*IF(Assumptions!K$206=2027,1+Assumptions!$F$193,1))/12),Assumptions!K$222)*Assumptions!$C$45+MIN(((Assumptions!$D$99*IF(Assumptions!K$206=2027,1+Assumptions!$F$193,1))/12),4*Assumptions!K$222)*(Assumptions!$C$52+Assumptions!$C$53))-K78</f>
        <v>7942.92166666667</v>
      </c>
      <c r="L91" s="65" t="n">
        <f aca="false">L20*(((Assumptions!$D$99*IF(Assumptions!L$206=2027,1+Assumptions!$F$193,1))/12)*(Assumptions!$C$44+Assumptions!$C$46+Assumptions!$C$47+Assumptions!$C$48+Assumptions!$C$49+Assumptions!$C$50+Assumptions!$C$51+Assumptions!$C$54+Assumptions!$C$55)+MIN(((Assumptions!$D$99*IF(Assumptions!L$206=2027,1+Assumptions!$F$193,1))/12),Assumptions!L$222)*Assumptions!$C$45+MIN(((Assumptions!$D$99*IF(Assumptions!L$206=2027,1+Assumptions!$F$193,1))/12),4*Assumptions!L$222)*(Assumptions!$C$52+Assumptions!$C$53))-L78</f>
        <v>7942.92166666667</v>
      </c>
      <c r="M91" s="65" t="n">
        <f aca="false">M20*(((Assumptions!$D$99*IF(Assumptions!M$206=2027,1+Assumptions!$F$193,1))/12)*(Assumptions!$C$44+Assumptions!$C$46+Assumptions!$C$47+Assumptions!$C$48+Assumptions!$C$49+Assumptions!$C$50+Assumptions!$C$51+Assumptions!$C$54+Assumptions!$C$55)+MIN(((Assumptions!$D$99*IF(Assumptions!M$206=2027,1+Assumptions!$F$193,1))/12),Assumptions!M$222)*Assumptions!$C$45+MIN(((Assumptions!$D$99*IF(Assumptions!M$206=2027,1+Assumptions!$F$193,1))/12),4*Assumptions!M$222)*(Assumptions!$C$52+Assumptions!$C$53))-M78</f>
        <v>7889.96885555556</v>
      </c>
      <c r="N91" s="65" t="n">
        <f aca="false">N20*(((Assumptions!$D$99*IF(Assumptions!N$206=2027,1+Assumptions!$F$193,1))/12)*(Assumptions!$C$44+Assumptions!$C$46+Assumptions!$C$47+Assumptions!$C$48+Assumptions!$C$49+Assumptions!$C$50+Assumptions!$C$51+Assumptions!$C$54+Assumptions!$C$55)+MIN(((Assumptions!$D$99*IF(Assumptions!N$206=2027,1+Assumptions!$F$193,1))/12),Assumptions!N$222)*Assumptions!$C$45+MIN(((Assumptions!$D$99*IF(Assumptions!N$206=2027,1+Assumptions!$F$193,1))/12),4*Assumptions!N$222)*(Assumptions!$C$52+Assumptions!$C$53))-N78</f>
        <v>7837.36906318518</v>
      </c>
      <c r="O91" s="65" t="n">
        <f aca="false">O20*(((Assumptions!$D$99*IF(Assumptions!O$206=2027,1+Assumptions!$F$193,1))/12)*(Assumptions!$C$44+Assumptions!$C$46+Assumptions!$C$47+Assumptions!$C$48+Assumptions!$C$49+Assumptions!$C$50+Assumptions!$C$51+Assumptions!$C$54+Assumptions!$C$55)+MIN(((Assumptions!$D$99*IF(Assumptions!O$206=2027,1+Assumptions!$F$193,1))/12),Assumptions!O$222)*Assumptions!$C$45+MIN(((Assumptions!$D$99*IF(Assumptions!O$206=2027,1+Assumptions!$F$193,1))/12),4*Assumptions!O$222)*(Assumptions!$C$52+Assumptions!$C$53))-O78</f>
        <v>7838.07274720839</v>
      </c>
      <c r="P91" s="65" t="n">
        <f aca="false">P20*(((Assumptions!$D$99*IF(Assumptions!P$206=2027,1+Assumptions!$F$193,1))/12)*(Assumptions!$C$44+Assumptions!$C$46+Assumptions!$C$47+Assumptions!$C$48+Assumptions!$C$49+Assumptions!$C$50+Assumptions!$C$51+Assumptions!$C$54+Assumptions!$C$55)+MIN(((Assumptions!$D$99*IF(Assumptions!P$206=2027,1+Assumptions!$F$193,1))/12),Assumptions!P$222)*Assumptions!$C$45+MIN(((Assumptions!$D$99*IF(Assumptions!P$206=2027,1+Assumptions!$F$193,1))/12),4*Assumptions!P$222)*(Assumptions!$C$52+Assumptions!$C$53))-P78</f>
        <v>7838.41872126404</v>
      </c>
      <c r="Q91" s="65" t="n">
        <f aca="false">Q20*(((Assumptions!$D$99*IF(Assumptions!Q$206=2027,1+Assumptions!$F$193,1))/12)*(Assumptions!$C$44+Assumptions!$C$46+Assumptions!$C$47+Assumptions!$C$48+Assumptions!$C$49+Assumptions!$C$50+Assumptions!$C$51+Assumptions!$C$54+Assumptions!$C$55)+MIN(((Assumptions!$D$99*IF(Assumptions!Q$206=2027,1+Assumptions!$F$193,1))/12),Assumptions!Q$222)*Assumptions!$C$45+MIN(((Assumptions!$D$99*IF(Assumptions!Q$206=2027,1+Assumptions!$F$193,1))/12),4*Assumptions!Q$222)*(Assumptions!$C$52+Assumptions!$C$53))-Q78</f>
        <v>8066.78876086197</v>
      </c>
      <c r="R91" s="65" t="n">
        <f aca="false">R20*(((Assumptions!$D$99*IF(Assumptions!R$206=2027,1+Assumptions!$F$193,1))/12)*(Assumptions!$C$44+Assumptions!$C$46+Assumptions!$C$47+Assumptions!$C$48+Assumptions!$C$49+Assumptions!$C$50+Assumptions!$C$51+Assumptions!$C$54+Assumptions!$C$55)+MIN(((Assumptions!$D$99*IF(Assumptions!R$206=2027,1+Assumptions!$F$193,1))/12),Assumptions!R$222)*Assumptions!$C$45+MIN(((Assumptions!$D$99*IF(Assumptions!R$206=2027,1+Assumptions!$F$193,1))/12),4*Assumptions!R$222)*(Assumptions!$C$52+Assumptions!$C$53))-R78</f>
        <v>8066.78643517782</v>
      </c>
      <c r="S91" s="65" t="n">
        <f aca="false">S20*(((Assumptions!$D$99*IF(Assumptions!S$206=2027,1+Assumptions!$F$193,1))/12)*(Assumptions!$C$44+Assumptions!$C$46+Assumptions!$C$47+Assumptions!$C$48+Assumptions!$C$49+Assumptions!$C$50+Assumptions!$C$51+Assumptions!$C$54+Assumptions!$C$55)+MIN(((Assumptions!$D$99*IF(Assumptions!S$206=2027,1+Assumptions!$F$193,1))/12),Assumptions!S$222)*Assumptions!$C$45+MIN(((Assumptions!$D$99*IF(Assumptions!S$206=2027,1+Assumptions!$F$193,1))/12),4*Assumptions!S$222)*(Assumptions!$C$52+Assumptions!$C$53))-S78</f>
        <v>8066.78649869307</v>
      </c>
      <c r="T91" s="65" t="n">
        <f aca="false">T20*(((Assumptions!$D$99*IF(Assumptions!T$206=2027,1+Assumptions!$F$193,1))/12)*(Assumptions!$C$44+Assumptions!$C$46+Assumptions!$C$47+Assumptions!$C$48+Assumptions!$C$49+Assumptions!$C$50+Assumptions!$C$51+Assumptions!$C$54+Assumptions!$C$55)+MIN(((Assumptions!$D$99*IF(Assumptions!T$206=2027,1+Assumptions!$F$193,1))/12),Assumptions!T$222)*Assumptions!$C$45+MIN(((Assumptions!$D$99*IF(Assumptions!T$206=2027,1+Assumptions!$F$193,1))/12),4*Assumptions!T$222)*(Assumptions!$C$52+Assumptions!$C$53))-T78</f>
        <v>8066.78651377419</v>
      </c>
      <c r="U91" s="65" t="n">
        <f aca="false">U20*(((Assumptions!$D$99*IF(Assumptions!U$206=2027,1+Assumptions!$F$193,1))/12)*(Assumptions!$C$44+Assumptions!$C$46+Assumptions!$C$47+Assumptions!$C$48+Assumptions!$C$49+Assumptions!$C$50+Assumptions!$C$51+Assumptions!$C$54+Assumptions!$C$55)+MIN(((Assumptions!$D$99*IF(Assumptions!U$206=2027,1+Assumptions!$F$193,1))/12),Assumptions!U$222)*Assumptions!$C$45+MIN(((Assumptions!$D$99*IF(Assumptions!U$206=2027,1+Assumptions!$F$193,1))/12),4*Assumptions!U$222)*(Assumptions!$C$52+Assumptions!$C$53))-U78</f>
        <v>8066.78651325022</v>
      </c>
      <c r="V91" s="65" t="n">
        <f aca="false">V20*(((Assumptions!$D$99*IF(Assumptions!V$206=2027,1+Assumptions!$F$193,1))/12)*(Assumptions!$C$44+Assumptions!$C$46+Assumptions!$C$47+Assumptions!$C$48+Assumptions!$C$49+Assumptions!$C$50+Assumptions!$C$51+Assumptions!$C$54+Assumptions!$C$55)+MIN(((Assumptions!$D$99*IF(Assumptions!V$206=2027,1+Assumptions!$F$193,1))/12),Assumptions!V$222)*Assumptions!$C$45+MIN(((Assumptions!$D$99*IF(Assumptions!V$206=2027,1+Assumptions!$F$193,1))/12),4*Assumptions!V$222)*(Assumptions!$C$52+Assumptions!$C$53))-V78</f>
        <v>8066.78651315317</v>
      </c>
      <c r="W91" s="65" t="n">
        <f aca="false">W20*(((Assumptions!$D$99*IF(Assumptions!W$206=2027,1+Assumptions!$F$193,1))/12)*(Assumptions!$C$44+Assumptions!$C$46+Assumptions!$C$47+Assumptions!$C$48+Assumptions!$C$49+Assumptions!$C$50+Assumptions!$C$51+Assumptions!$C$54+Assumptions!$C$55)+MIN(((Assumptions!$D$99*IF(Assumptions!W$206=2027,1+Assumptions!$F$193,1))/12),Assumptions!W$222)*Assumptions!$C$45+MIN(((Assumptions!$D$99*IF(Assumptions!W$206=2027,1+Assumptions!$F$193,1))/12),4*Assumptions!W$222)*(Assumptions!$C$52+Assumptions!$C$53))-W78</f>
        <v>8066.78651315731</v>
      </c>
      <c r="X91" s="65" t="n">
        <f aca="false">X20*(((Assumptions!$D$99*IF(Assumptions!X$206=2027,1+Assumptions!$F$193,1))/12)*(Assumptions!$C$44+Assumptions!$C$46+Assumptions!$C$47+Assumptions!$C$48+Assumptions!$C$49+Assumptions!$C$50+Assumptions!$C$51+Assumptions!$C$54+Assumptions!$C$55)+MIN(((Assumptions!$D$99*IF(Assumptions!X$206=2027,1+Assumptions!$F$193,1))/12),Assumptions!X$222)*Assumptions!$C$45+MIN(((Assumptions!$D$99*IF(Assumptions!X$206=2027,1+Assumptions!$F$193,1))/12),4*Assumptions!X$222)*(Assumptions!$C$52+Assumptions!$C$53))-X78</f>
        <v>8066.78651315793</v>
      </c>
      <c r="Y91" s="65" t="n">
        <f aca="false">Y20*(((Assumptions!$D$99*IF(Assumptions!Y$206=2027,1+Assumptions!$F$193,1))/12)*(Assumptions!$C$44+Assumptions!$C$46+Assumptions!$C$47+Assumptions!$C$48+Assumptions!$C$49+Assumptions!$C$50+Assumptions!$C$51+Assumptions!$C$54+Assumptions!$C$55)+MIN(((Assumptions!$D$99*IF(Assumptions!Y$206=2027,1+Assumptions!$F$193,1))/12),Assumptions!Y$222)*Assumptions!$C$45+MIN(((Assumptions!$D$99*IF(Assumptions!Y$206=2027,1+Assumptions!$F$193,1))/12),4*Assumptions!Y$222)*(Assumptions!$C$52+Assumptions!$C$53))-Y78</f>
        <v>8066.7865131579</v>
      </c>
      <c r="Z91" s="65" t="n">
        <f aca="false">Z20*(((Assumptions!$D$99*IF(Assumptions!Z$206=2027,1+Assumptions!$F$193,1))/12)*(Assumptions!$C$44+Assumptions!$C$46+Assumptions!$C$47+Assumptions!$C$48+Assumptions!$C$49+Assumptions!$C$50+Assumptions!$C$51+Assumptions!$C$54+Assumptions!$C$55)+MIN(((Assumptions!$D$99*IF(Assumptions!Z$206=2027,1+Assumptions!$F$193,1))/12),Assumptions!Z$222)*Assumptions!$C$45+MIN(((Assumptions!$D$99*IF(Assumptions!Z$206=2027,1+Assumptions!$F$193,1))/12),4*Assumptions!Z$222)*(Assumptions!$C$52+Assumptions!$C$53))-Z78</f>
        <v>8066.78651315789</v>
      </c>
      <c r="AA91" s="65" t="n">
        <f aca="false">AA20*(((Assumptions!$D$99*IF(Assumptions!AA$206=2027,1+Assumptions!$F$193,1))/12)*(Assumptions!$C$44+Assumptions!$C$46+Assumptions!$C$47+Assumptions!$C$48+Assumptions!$C$49+Assumptions!$C$50+Assumptions!$C$51+Assumptions!$C$54+Assumptions!$C$55)+MIN(((Assumptions!$D$99*IF(Assumptions!AA$206=2027,1+Assumptions!$F$193,1))/12),Assumptions!AA$222)*Assumptions!$C$45+MIN(((Assumptions!$D$99*IF(Assumptions!AA$206=2027,1+Assumptions!$F$193,1))/12),4*Assumptions!AA$222)*(Assumptions!$C$52+Assumptions!$C$53))-AA78</f>
        <v>8066.7865131579</v>
      </c>
      <c r="AB91" s="65" t="n">
        <f aca="false">AB20*(((Assumptions!$D$99*IF(Assumptions!AB$206=2027,1+Assumptions!$F$193,1))/12)*(Assumptions!$C$44+Assumptions!$C$46+Assumptions!$C$47+Assumptions!$C$48+Assumptions!$C$49+Assumptions!$C$50+Assumptions!$C$51+Assumptions!$C$54+Assumptions!$C$55)+MIN(((Assumptions!$D$99*IF(Assumptions!AB$206=2027,1+Assumptions!$F$193,1))/12),Assumptions!AB$222)*Assumptions!$C$45+MIN(((Assumptions!$D$99*IF(Assumptions!AB$206=2027,1+Assumptions!$F$193,1))/12),4*Assumptions!AB$222)*(Assumptions!$C$52+Assumptions!$C$53))-AB78</f>
        <v>8066.7865131579</v>
      </c>
    </row>
    <row r="92" customFormat="false" ht="15" hidden="false" customHeight="false" outlineLevel="0" collapsed="false">
      <c r="A92" s="28" t="s">
        <v>1177</v>
      </c>
      <c r="B92" s="62"/>
      <c r="C92" s="64" t="n">
        <f aca="false">SUM(E92:P92)</f>
        <v>103643.035653202</v>
      </c>
      <c r="D92" s="64" t="n">
        <f aca="false">SUM(Q92:AB92)</f>
        <v>117712.701635038</v>
      </c>
      <c r="E92" s="65" t="n">
        <f aca="false">E21*(((Assumptions!$D$100*IF(Assumptions!E$206=2027,1+Assumptions!$F$193,1))/12)*(Assumptions!$C$44+Assumptions!$C$46+Assumptions!$C$47+Assumptions!$C$48+Assumptions!$C$49+Assumptions!$C$50+Assumptions!$C$51+Assumptions!$C$54+Assumptions!$C$55)+MIN(((Assumptions!$D$100*IF(Assumptions!E$206=2027,1+Assumptions!$F$193,1))/12),Assumptions!E$222)*Assumptions!$C$45+MIN(((Assumptions!$D$100*IF(Assumptions!E$206=2027,1+Assumptions!$F$193,1))/12),4*Assumptions!E$222)*(Assumptions!$C$52+Assumptions!$C$53))-E79</f>
        <v>7466.63068762237</v>
      </c>
      <c r="F92" s="65" t="n">
        <f aca="false">F21*(((Assumptions!$D$100*IF(Assumptions!F$206=2027,1+Assumptions!$F$193,1))/12)*(Assumptions!$C$44+Assumptions!$C$46+Assumptions!$C$47+Assumptions!$C$48+Assumptions!$C$49+Assumptions!$C$50+Assumptions!$C$51+Assumptions!$C$54+Assumptions!$C$55)+MIN(((Assumptions!$D$100*IF(Assumptions!F$206=2027,1+Assumptions!$F$193,1))/12),Assumptions!F$222)*Assumptions!$C$45+MIN(((Assumptions!$D$100*IF(Assumptions!F$206=2027,1+Assumptions!$F$193,1))/12),4*Assumptions!F$222)*(Assumptions!$C$52+Assumptions!$C$53))-F79</f>
        <v>7466.63068762237</v>
      </c>
      <c r="G92" s="65" t="n">
        <f aca="false">G21*(((Assumptions!$D$100*IF(Assumptions!G$206=2027,1+Assumptions!$F$193,1))/12)*(Assumptions!$C$44+Assumptions!$C$46+Assumptions!$C$47+Assumptions!$C$48+Assumptions!$C$49+Assumptions!$C$50+Assumptions!$C$51+Assumptions!$C$54+Assumptions!$C$55)+MIN(((Assumptions!$D$100*IF(Assumptions!G$206=2027,1+Assumptions!$F$193,1))/12),Assumptions!G$222)*Assumptions!$C$45+MIN(((Assumptions!$D$100*IF(Assumptions!G$206=2027,1+Assumptions!$F$193,1))/12),4*Assumptions!G$222)*(Assumptions!$C$52+Assumptions!$C$53))-G79</f>
        <v>8959.95682514684</v>
      </c>
      <c r="H92" s="65" t="n">
        <f aca="false">H21*(((Assumptions!$D$100*IF(Assumptions!H$206=2027,1+Assumptions!$F$193,1))/12)*(Assumptions!$C$44+Assumptions!$C$46+Assumptions!$C$47+Assumptions!$C$48+Assumptions!$C$49+Assumptions!$C$50+Assumptions!$C$51+Assumptions!$C$54+Assumptions!$C$55)+MIN(((Assumptions!$D$100*IF(Assumptions!H$206=2027,1+Assumptions!$F$193,1))/12),Assumptions!H$222)*Assumptions!$C$45+MIN(((Assumptions!$D$100*IF(Assumptions!H$206=2027,1+Assumptions!$F$193,1))/12),4*Assumptions!H$222)*(Assumptions!$C$52+Assumptions!$C$53))-H79</f>
        <v>8959.95682514684</v>
      </c>
      <c r="I92" s="65" t="n">
        <f aca="false">I21*(((Assumptions!$D$100*IF(Assumptions!I$206=2027,1+Assumptions!$F$193,1))/12)*(Assumptions!$C$44+Assumptions!$C$46+Assumptions!$C$47+Assumptions!$C$48+Assumptions!$C$49+Assumptions!$C$50+Assumptions!$C$51+Assumptions!$C$54+Assumptions!$C$55)+MIN(((Assumptions!$D$100*IF(Assumptions!I$206=2027,1+Assumptions!$F$193,1))/12),Assumptions!I$222)*Assumptions!$C$45+MIN(((Assumptions!$D$100*IF(Assumptions!I$206=2027,1+Assumptions!$F$193,1))/12),4*Assumptions!I$222)*(Assumptions!$C$52+Assumptions!$C$53))-I79</f>
        <v>8959.95682514684</v>
      </c>
      <c r="J92" s="65" t="n">
        <f aca="false">J21*(((Assumptions!$D$100*IF(Assumptions!J$206=2027,1+Assumptions!$F$193,1))/12)*(Assumptions!$C$44+Assumptions!$C$46+Assumptions!$C$47+Assumptions!$C$48+Assumptions!$C$49+Assumptions!$C$50+Assumptions!$C$51+Assumptions!$C$54+Assumptions!$C$55)+MIN(((Assumptions!$D$100*IF(Assumptions!J$206=2027,1+Assumptions!$F$193,1))/12),Assumptions!J$222)*Assumptions!$C$45+MIN(((Assumptions!$D$100*IF(Assumptions!J$206=2027,1+Assumptions!$F$193,1))/12),4*Assumptions!J$222)*(Assumptions!$C$52+Assumptions!$C$53))-J79</f>
        <v>8891.67144889035</v>
      </c>
      <c r="K92" s="65" t="n">
        <f aca="false">K21*(((Assumptions!$D$100*IF(Assumptions!K$206=2027,1+Assumptions!$F$193,1))/12)*(Assumptions!$C$44+Assumptions!$C$46+Assumptions!$C$47+Assumptions!$C$48+Assumptions!$C$49+Assumptions!$C$50+Assumptions!$C$51+Assumptions!$C$54+Assumptions!$C$55)+MIN(((Assumptions!$D$100*IF(Assumptions!K$206=2027,1+Assumptions!$F$193,1))/12),Assumptions!K$222)*Assumptions!$C$45+MIN(((Assumptions!$D$100*IF(Assumptions!K$206=2027,1+Assumptions!$F$193,1))/12),4*Assumptions!K$222)*(Assumptions!$C$52+Assumptions!$C$53))-K79</f>
        <v>8891.67144889035</v>
      </c>
      <c r="L92" s="65" t="n">
        <f aca="false">L21*(((Assumptions!$D$100*IF(Assumptions!L$206=2027,1+Assumptions!$F$193,1))/12)*(Assumptions!$C$44+Assumptions!$C$46+Assumptions!$C$47+Assumptions!$C$48+Assumptions!$C$49+Assumptions!$C$50+Assumptions!$C$51+Assumptions!$C$54+Assumptions!$C$55)+MIN(((Assumptions!$D$100*IF(Assumptions!L$206=2027,1+Assumptions!$F$193,1))/12),Assumptions!L$222)*Assumptions!$C$45+MIN(((Assumptions!$D$100*IF(Assumptions!L$206=2027,1+Assumptions!$F$193,1))/12),4*Assumptions!L$222)*(Assumptions!$C$52+Assumptions!$C$53))-L79</f>
        <v>8891.67144889035</v>
      </c>
      <c r="M92" s="65" t="n">
        <f aca="false">M21*(((Assumptions!$D$100*IF(Assumptions!M$206=2027,1+Assumptions!$F$193,1))/12)*(Assumptions!$C$44+Assumptions!$C$46+Assumptions!$C$47+Assumptions!$C$48+Assumptions!$C$49+Assumptions!$C$50+Assumptions!$C$51+Assumptions!$C$54+Assumptions!$C$55)+MIN(((Assumptions!$D$100*IF(Assumptions!M$206=2027,1+Assumptions!$F$193,1))/12),Assumptions!M$222)*Assumptions!$C$45+MIN(((Assumptions!$D$100*IF(Assumptions!M$206=2027,1+Assumptions!$F$193,1))/12),4*Assumptions!M$222)*(Assumptions!$C$52+Assumptions!$C$53))-M79</f>
        <v>8832.39363923108</v>
      </c>
      <c r="N92" s="65" t="n">
        <f aca="false">N21*(((Assumptions!$D$100*IF(Assumptions!N$206=2027,1+Assumptions!$F$193,1))/12)*(Assumptions!$C$44+Assumptions!$C$46+Assumptions!$C$47+Assumptions!$C$48+Assumptions!$C$49+Assumptions!$C$50+Assumptions!$C$51+Assumptions!$C$54+Assumptions!$C$55)+MIN(((Assumptions!$D$100*IF(Assumptions!N$206=2027,1+Assumptions!$F$193,1))/12),Assumptions!N$222)*Assumptions!$C$45+MIN(((Assumptions!$D$100*IF(Assumptions!N$206=2027,1+Assumptions!$F$193,1))/12),4*Assumptions!N$222)*(Assumptions!$C$52+Assumptions!$C$53))-N79</f>
        <v>8773.51101496954</v>
      </c>
      <c r="O92" s="65" t="n">
        <f aca="false">O21*(((Assumptions!$D$100*IF(Assumptions!O$206=2027,1+Assumptions!$F$193,1))/12)*(Assumptions!$C$44+Assumptions!$C$46+Assumptions!$C$47+Assumptions!$C$48+Assumptions!$C$49+Assumptions!$C$50+Assumptions!$C$51+Assumptions!$C$54+Assumptions!$C$55)+MIN(((Assumptions!$D$100*IF(Assumptions!O$206=2027,1+Assumptions!$F$193,1))/12),Assumptions!O$222)*Assumptions!$C$45+MIN(((Assumptions!$D$100*IF(Assumptions!O$206=2027,1+Assumptions!$F$193,1))/12),4*Assumptions!O$222)*(Assumptions!$C$52+Assumptions!$C$53))-O79</f>
        <v>8774.29875119568</v>
      </c>
      <c r="P92" s="65" t="n">
        <f aca="false">P21*(((Assumptions!$D$100*IF(Assumptions!P$206=2027,1+Assumptions!$F$193,1))/12)*(Assumptions!$C$44+Assumptions!$C$46+Assumptions!$C$47+Assumptions!$C$48+Assumptions!$C$49+Assumptions!$C$50+Assumptions!$C$51+Assumptions!$C$54+Assumptions!$C$55)+MIN(((Assumptions!$D$100*IF(Assumptions!P$206=2027,1+Assumptions!$F$193,1))/12),Assumptions!P$222)*Assumptions!$C$45+MIN(((Assumptions!$D$100*IF(Assumptions!P$206=2027,1+Assumptions!$F$193,1))/12),4*Assumptions!P$222)*(Assumptions!$C$52+Assumptions!$C$53))-P79</f>
        <v>8774.68605044925</v>
      </c>
      <c r="Q92" s="65" t="n">
        <f aca="false">Q21*(((Assumptions!$D$100*IF(Assumptions!Q$206=2027,1+Assumptions!$F$193,1))/12)*(Assumptions!$C$44+Assumptions!$C$46+Assumptions!$C$47+Assumptions!$C$48+Assumptions!$C$49+Assumptions!$C$50+Assumptions!$C$51+Assumptions!$C$54+Assumptions!$C$55)+MIN(((Assumptions!$D$100*IF(Assumptions!Q$206=2027,1+Assumptions!$F$193,1))/12),Assumptions!Q$222)*Assumptions!$C$45+MIN(((Assumptions!$D$100*IF(Assumptions!Q$206=2027,1+Assumptions!$F$193,1))/12),4*Assumptions!Q$222)*(Assumptions!$C$52+Assumptions!$C$53))-Q79</f>
        <v>9052.53491709031</v>
      </c>
      <c r="R92" s="65" t="n">
        <f aca="false">R21*(((Assumptions!$D$100*IF(Assumptions!R$206=2027,1+Assumptions!$F$193,1))/12)*(Assumptions!$C$44+Assumptions!$C$46+Assumptions!$C$47+Assumptions!$C$48+Assumptions!$C$49+Assumptions!$C$50+Assumptions!$C$51+Assumptions!$C$54+Assumptions!$C$55)+MIN(((Assumptions!$D$100*IF(Assumptions!R$206=2027,1+Assumptions!$F$193,1))/12),Assumptions!R$222)*Assumptions!$C$45+MIN(((Assumptions!$D$100*IF(Assumptions!R$206=2027,1+Assumptions!$F$193,1))/12),4*Assumptions!R$222)*(Assumptions!$C$52+Assumptions!$C$53))-R79</f>
        <v>9052.53230721201</v>
      </c>
      <c r="S92" s="65" t="n">
        <f aca="false">S21*(((Assumptions!$D$100*IF(Assumptions!S$206=2027,1+Assumptions!$F$193,1))/12)*(Assumptions!$C$44+Assumptions!$C$46+Assumptions!$C$47+Assumptions!$C$48+Assumptions!$C$49+Assumptions!$C$50+Assumptions!$C$51+Assumptions!$C$54+Assumptions!$C$55)+MIN(((Assumptions!$D$100*IF(Assumptions!S$206=2027,1+Assumptions!$F$193,1))/12),Assumptions!S$222)*Assumptions!$C$45+MIN(((Assumptions!$D$100*IF(Assumptions!S$206=2027,1+Assumptions!$F$193,1))/12),4*Assumptions!S$222)*(Assumptions!$C$52+Assumptions!$C$53))-S79</f>
        <v>9052.5323784887</v>
      </c>
      <c r="T92" s="65" t="n">
        <f aca="false">T21*(((Assumptions!$D$100*IF(Assumptions!T$206=2027,1+Assumptions!$F$193,1))/12)*(Assumptions!$C$44+Assumptions!$C$46+Assumptions!$C$47+Assumptions!$C$48+Assumptions!$C$49+Assumptions!$C$50+Assumptions!$C$51+Assumptions!$C$54+Assumptions!$C$55)+MIN(((Assumptions!$D$100*IF(Assumptions!T$206=2027,1+Assumptions!$F$193,1))/12),Assumptions!T$222)*Assumptions!$C$45+MIN(((Assumptions!$D$100*IF(Assumptions!T$206=2027,1+Assumptions!$F$193,1))/12),4*Assumptions!T$222)*(Assumptions!$C$52+Assumptions!$C$53))-T79</f>
        <v>9052.53239541271</v>
      </c>
      <c r="U92" s="65" t="n">
        <f aca="false">U21*(((Assumptions!$D$100*IF(Assumptions!U$206=2027,1+Assumptions!$F$193,1))/12)*(Assumptions!$C$44+Assumptions!$C$46+Assumptions!$C$47+Assumptions!$C$48+Assumptions!$C$49+Assumptions!$C$50+Assumptions!$C$51+Assumptions!$C$54+Assumptions!$C$55)+MIN(((Assumptions!$D$100*IF(Assumptions!U$206=2027,1+Assumptions!$F$193,1))/12),Assumptions!U$222)*Assumptions!$C$45+MIN(((Assumptions!$D$100*IF(Assumptions!U$206=2027,1+Assumptions!$F$193,1))/12),4*Assumptions!U$222)*(Assumptions!$C$52+Assumptions!$C$53))-U79</f>
        <v>9052.5323948247</v>
      </c>
      <c r="V92" s="65" t="n">
        <f aca="false">V21*(((Assumptions!$D$100*IF(Assumptions!V$206=2027,1+Assumptions!$F$193,1))/12)*(Assumptions!$C$44+Assumptions!$C$46+Assumptions!$C$47+Assumptions!$C$48+Assumptions!$C$49+Assumptions!$C$50+Assumptions!$C$51+Assumptions!$C$54+Assumptions!$C$55)+MIN(((Assumptions!$D$100*IF(Assumptions!V$206=2027,1+Assumptions!$F$193,1))/12),Assumptions!V$222)*Assumptions!$C$45+MIN(((Assumptions!$D$100*IF(Assumptions!V$206=2027,1+Assumptions!$F$193,1))/12),4*Assumptions!V$222)*(Assumptions!$C$52+Assumptions!$C$53))-V79</f>
        <v>9052.5323947158</v>
      </c>
      <c r="W92" s="65" t="n">
        <f aca="false">W21*(((Assumptions!$D$100*IF(Assumptions!W$206=2027,1+Assumptions!$F$193,1))/12)*(Assumptions!$C$44+Assumptions!$C$46+Assumptions!$C$47+Assumptions!$C$48+Assumptions!$C$49+Assumptions!$C$50+Assumptions!$C$51+Assumptions!$C$54+Assumptions!$C$55)+MIN(((Assumptions!$D$100*IF(Assumptions!W$206=2027,1+Assumptions!$F$193,1))/12),Assumptions!W$222)*Assumptions!$C$45+MIN(((Assumptions!$D$100*IF(Assumptions!W$206=2027,1+Assumptions!$F$193,1))/12),4*Assumptions!W$222)*(Assumptions!$C$52+Assumptions!$C$53))-W79</f>
        <v>10581.4045324956</v>
      </c>
      <c r="X92" s="65" t="n">
        <f aca="false">X21*(((Assumptions!$D$100*IF(Assumptions!X$206=2027,1+Assumptions!$F$193,1))/12)*(Assumptions!$C$44+Assumptions!$C$46+Assumptions!$C$47+Assumptions!$C$48+Assumptions!$C$49+Assumptions!$C$50+Assumptions!$C$51+Assumptions!$C$54+Assumptions!$C$55)+MIN(((Assumptions!$D$100*IF(Assumptions!X$206=2027,1+Assumptions!$F$193,1))/12),Assumptions!X$222)*Assumptions!$C$45+MIN(((Assumptions!$D$100*IF(Assumptions!X$206=2027,1+Assumptions!$F$193,1))/12),4*Assumptions!X$222)*(Assumptions!$C$52+Assumptions!$C$53))-X79</f>
        <v>10571.2120515778</v>
      </c>
      <c r="Y92" s="65" t="n">
        <f aca="false">Y21*(((Assumptions!$D$100*IF(Assumptions!Y$206=2027,1+Assumptions!$F$193,1))/12)*(Assumptions!$C$44+Assumptions!$C$46+Assumptions!$C$47+Assumptions!$C$48+Assumptions!$C$49+Assumptions!$C$50+Assumptions!$C$51+Assumptions!$C$54+Assumptions!$C$55)+MIN(((Assumptions!$D$100*IF(Assumptions!Y$206=2027,1+Assumptions!$F$193,1))/12),Assumptions!Y$222)*Assumptions!$C$45+MIN(((Assumptions!$D$100*IF(Assumptions!Y$206=2027,1+Assumptions!$F$193,1))/12),4*Assumptions!Y$222)*(Assumptions!$C$52+Assumptions!$C$53))-Y79</f>
        <v>10561.087520532</v>
      </c>
      <c r="Z92" s="65" t="n">
        <f aca="false">Z21*(((Assumptions!$D$100*IF(Assumptions!Z$206=2027,1+Assumptions!$F$193,1))/12)*(Assumptions!$C$44+Assumptions!$C$46+Assumptions!$C$47+Assumptions!$C$48+Assumptions!$C$49+Assumptions!$C$50+Assumptions!$C$51+Assumptions!$C$54+Assumptions!$C$55)+MIN(((Assumptions!$D$100*IF(Assumptions!Z$206=2027,1+Assumptions!$F$193,1))/12),Assumptions!Z$222)*Assumptions!$C$45+MIN(((Assumptions!$D$100*IF(Assumptions!Z$206=2027,1+Assumptions!$F$193,1))/12),4*Assumptions!Z$222)*(Assumptions!$C$52+Assumptions!$C$53))-Z79</f>
        <v>10561.2229672784</v>
      </c>
      <c r="AA92" s="65" t="n">
        <f aca="false">AA21*(((Assumptions!$D$100*IF(Assumptions!AA$206=2027,1+Assumptions!$F$193,1))/12)*(Assumptions!$C$44+Assumptions!$C$46+Assumptions!$C$47+Assumptions!$C$48+Assumptions!$C$49+Assumptions!$C$50+Assumptions!$C$51+Assumptions!$C$54+Assumptions!$C$55)+MIN(((Assumptions!$D$100*IF(Assumptions!AA$206=2027,1+Assumptions!$F$193,1))/12),Assumptions!AA$222)*Assumptions!$C$45+MIN(((Assumptions!$D$100*IF(Assumptions!AA$206=2027,1+Assumptions!$F$193,1))/12),4*Assumptions!AA$222)*(Assumptions!$C$52+Assumptions!$C$53))-AA79</f>
        <v>10561.2895611738</v>
      </c>
      <c r="AB92" s="65" t="n">
        <f aca="false">AB21*(((Assumptions!$D$100*IF(Assumptions!AB$206=2027,1+Assumptions!$F$193,1))/12)*(Assumptions!$C$44+Assumptions!$C$46+Assumptions!$C$47+Assumptions!$C$48+Assumptions!$C$49+Assumptions!$C$50+Assumptions!$C$51+Assumptions!$C$54+Assumptions!$C$55)+MIN(((Assumptions!$D$100*IF(Assumptions!AB$206=2027,1+Assumptions!$F$193,1))/12),Assumptions!AB$222)*Assumptions!$C$45+MIN(((Assumptions!$D$100*IF(Assumptions!AB$206=2027,1+Assumptions!$F$193,1))/12),4*Assumptions!AB$222)*(Assumptions!$C$52+Assumptions!$C$53))-AB79</f>
        <v>10561.2882142362</v>
      </c>
    </row>
    <row r="93" customFormat="false" ht="15" hidden="false" customHeight="false" outlineLevel="0" collapsed="false">
      <c r="A93" s="28" t="s">
        <v>1178</v>
      </c>
      <c r="B93" s="62" t="s">
        <v>1179</v>
      </c>
      <c r="C93" s="64" t="n">
        <f aca="false">SUM(E93:P93)</f>
        <v>81977.9727843498</v>
      </c>
      <c r="D93" s="64" t="n">
        <f aca="false">SUM(Q93:AB93)</f>
        <v>95266.6983942461</v>
      </c>
      <c r="E93" s="65" t="n">
        <f aca="false">E9*(MIN(((Assumptions!$D$88*IF(Assumptions!E$206=2027,1+Assumptions!$F$193,1))/12),Assumptions!E$222)*(Assumptions!$C$56+Assumptions!$C$57)+MAX(0,MIN(((Assumptions!$D$88*IF(Assumptions!E$206=2027,1+Assumptions!$F$193,1))/12),8*Assumptions!E$222)-Assumptions!E$222)*(Assumptions!$C$58+Assumptions!$C$59)+IF(((Assumptions!$D$88*IF(Assumptions!E$206=2027,1+Assumptions!$F$193,1))/12)&gt;Assumptions!E$222,MIN(((Assumptions!$D$88*IF(Assumptions!E$206=2027,1+Assumptions!$F$193,1))/12),8*Assumptions!E$222)*Assumptions!$C$60+MIN(((Assumptions!$D$88*IF(Assumptions!E$206=2027,1+Assumptions!$F$193,1))/12),4*Assumptions!E$222)*Assumptions!$C$61,0))</f>
        <v>6070.01733333333</v>
      </c>
      <c r="F93" s="65" t="n">
        <f aca="false">F9*(MIN(((Assumptions!$D$88*IF(Assumptions!F$206=2027,1+Assumptions!$F$193,1))/12),Assumptions!F$222)*(Assumptions!$C$56+Assumptions!$C$57)+MAX(0,MIN(((Assumptions!$D$88*IF(Assumptions!F$206=2027,1+Assumptions!$F$193,1))/12),8*Assumptions!F$222)-Assumptions!F$222)*(Assumptions!$C$58+Assumptions!$C$59)+IF(((Assumptions!$D$88*IF(Assumptions!F$206=2027,1+Assumptions!$F$193,1))/12)&gt;Assumptions!F$222,MIN(((Assumptions!$D$88*IF(Assumptions!F$206=2027,1+Assumptions!$F$193,1))/12),8*Assumptions!F$222)*Assumptions!$C$60+MIN(((Assumptions!$D$88*IF(Assumptions!F$206=2027,1+Assumptions!$F$193,1))/12),4*Assumptions!F$222)*Assumptions!$C$61,0))</f>
        <v>6937.16266666667</v>
      </c>
      <c r="G93" s="65" t="n">
        <f aca="false">G9*(MIN(((Assumptions!$D$88*IF(Assumptions!G$206=2027,1+Assumptions!$F$193,1))/12),Assumptions!G$222)*(Assumptions!$C$56+Assumptions!$C$57)+MAX(0,MIN(((Assumptions!$D$88*IF(Assumptions!G$206=2027,1+Assumptions!$F$193,1))/12),8*Assumptions!G$222)-Assumptions!G$222)*(Assumptions!$C$58+Assumptions!$C$59)+IF(((Assumptions!$D$88*IF(Assumptions!G$206=2027,1+Assumptions!$F$193,1))/12)&gt;Assumptions!G$222,MIN(((Assumptions!$D$88*IF(Assumptions!G$206=2027,1+Assumptions!$F$193,1))/12),8*Assumptions!G$222)*Assumptions!$C$60+MIN(((Assumptions!$D$88*IF(Assumptions!G$206=2027,1+Assumptions!$F$193,1))/12),4*Assumptions!G$222)*Assumptions!$C$61,0))</f>
        <v>6937.16266666667</v>
      </c>
      <c r="H93" s="65" t="n">
        <f aca="false">H9*(MIN(((Assumptions!$D$88*IF(Assumptions!H$206=2027,1+Assumptions!$F$193,1))/12),Assumptions!H$222)*(Assumptions!$C$56+Assumptions!$C$57)+MAX(0,MIN(((Assumptions!$D$88*IF(Assumptions!H$206=2027,1+Assumptions!$F$193,1))/12),8*Assumptions!H$222)-Assumptions!H$222)*(Assumptions!$C$58+Assumptions!$C$59)+IF(((Assumptions!$D$88*IF(Assumptions!H$206=2027,1+Assumptions!$F$193,1))/12)&gt;Assumptions!H$222,MIN(((Assumptions!$D$88*IF(Assumptions!H$206=2027,1+Assumptions!$F$193,1))/12),8*Assumptions!H$222)*Assumptions!$C$60+MIN(((Assumptions!$D$88*IF(Assumptions!H$206=2027,1+Assumptions!$F$193,1))/12),4*Assumptions!H$222)*Assumptions!$C$61,0))</f>
        <v>6937.16266666667</v>
      </c>
      <c r="I93" s="65" t="n">
        <f aca="false">I9*(MIN(((Assumptions!$D$88*IF(Assumptions!I$206=2027,1+Assumptions!$F$193,1))/12),Assumptions!I$222)*(Assumptions!$C$56+Assumptions!$C$57)+MAX(0,MIN(((Assumptions!$D$88*IF(Assumptions!I$206=2027,1+Assumptions!$F$193,1))/12),8*Assumptions!I$222)-Assumptions!I$222)*(Assumptions!$C$58+Assumptions!$C$59)+IF(((Assumptions!$D$88*IF(Assumptions!I$206=2027,1+Assumptions!$F$193,1))/12)&gt;Assumptions!I$222,MIN(((Assumptions!$D$88*IF(Assumptions!I$206=2027,1+Assumptions!$F$193,1))/12),8*Assumptions!I$222)*Assumptions!$C$60+MIN(((Assumptions!$D$88*IF(Assumptions!I$206=2027,1+Assumptions!$F$193,1))/12),4*Assumptions!I$222)*Assumptions!$C$61,0))</f>
        <v>6937.16266666667</v>
      </c>
      <c r="J93" s="65" t="n">
        <f aca="false">J9*(MIN(((Assumptions!$D$88*IF(Assumptions!J$206=2027,1+Assumptions!$F$193,1))/12),Assumptions!J$222)*(Assumptions!$C$56+Assumptions!$C$57)+MAX(0,MIN(((Assumptions!$D$88*IF(Assumptions!J$206=2027,1+Assumptions!$F$193,1))/12),8*Assumptions!J$222)-Assumptions!J$222)*(Assumptions!$C$58+Assumptions!$C$59)+IF(((Assumptions!$D$88*IF(Assumptions!J$206=2027,1+Assumptions!$F$193,1))/12)&gt;Assumptions!J$222,MIN(((Assumptions!$D$88*IF(Assumptions!J$206=2027,1+Assumptions!$F$193,1))/12),8*Assumptions!J$222)*Assumptions!$C$60+MIN(((Assumptions!$D$88*IF(Assumptions!J$206=2027,1+Assumptions!$F$193,1))/12),4*Assumptions!J$222)*Assumptions!$C$61,0))</f>
        <v>6937.16266666667</v>
      </c>
      <c r="K93" s="65" t="n">
        <f aca="false">K9*(MIN(((Assumptions!$D$88*IF(Assumptions!K$206=2027,1+Assumptions!$F$193,1))/12),Assumptions!K$222)*(Assumptions!$C$56+Assumptions!$C$57)+MAX(0,MIN(((Assumptions!$D$88*IF(Assumptions!K$206=2027,1+Assumptions!$F$193,1))/12),8*Assumptions!K$222)-Assumptions!K$222)*(Assumptions!$C$58+Assumptions!$C$59)+IF(((Assumptions!$D$88*IF(Assumptions!K$206=2027,1+Assumptions!$F$193,1))/12)&gt;Assumptions!K$222,MIN(((Assumptions!$D$88*IF(Assumptions!K$206=2027,1+Assumptions!$F$193,1))/12),8*Assumptions!K$222)*Assumptions!$C$60+MIN(((Assumptions!$D$88*IF(Assumptions!K$206=2027,1+Assumptions!$F$193,1))/12),4*Assumptions!K$222)*Assumptions!$C$61,0))</f>
        <v>6937.16266666667</v>
      </c>
      <c r="L93" s="65" t="n">
        <f aca="false">L9*(MIN(((Assumptions!$D$88*IF(Assumptions!L$206=2027,1+Assumptions!$F$193,1))/12),Assumptions!L$222)*(Assumptions!$C$56+Assumptions!$C$57)+MAX(0,MIN(((Assumptions!$D$88*IF(Assumptions!L$206=2027,1+Assumptions!$F$193,1))/12),8*Assumptions!L$222)-Assumptions!L$222)*(Assumptions!$C$58+Assumptions!$C$59)+IF(((Assumptions!$D$88*IF(Assumptions!L$206=2027,1+Assumptions!$F$193,1))/12)&gt;Assumptions!L$222,MIN(((Assumptions!$D$88*IF(Assumptions!L$206=2027,1+Assumptions!$F$193,1))/12),8*Assumptions!L$222)*Assumptions!$C$60+MIN(((Assumptions!$D$88*IF(Assumptions!L$206=2027,1+Assumptions!$F$193,1))/12),4*Assumptions!L$222)*Assumptions!$C$61,0))</f>
        <v>6937.16266666667</v>
      </c>
      <c r="M93" s="65" t="n">
        <f aca="false">M9*(MIN(((Assumptions!$D$88*IF(Assumptions!M$206=2027,1+Assumptions!$F$193,1))/12),Assumptions!M$222)*(Assumptions!$C$56+Assumptions!$C$57)+MAX(0,MIN(((Assumptions!$D$88*IF(Assumptions!M$206=2027,1+Assumptions!$F$193,1))/12),8*Assumptions!M$222)-Assumptions!M$222)*(Assumptions!$C$58+Assumptions!$C$59)+IF(((Assumptions!$D$88*IF(Assumptions!M$206=2027,1+Assumptions!$F$193,1))/12)&gt;Assumptions!M$222,MIN(((Assumptions!$D$88*IF(Assumptions!M$206=2027,1+Assumptions!$F$193,1))/12),8*Assumptions!M$222)*Assumptions!$C$60+MIN(((Assumptions!$D$88*IF(Assumptions!M$206=2027,1+Assumptions!$F$193,1))/12),4*Assumptions!M$222)*Assumptions!$C$61,0))</f>
        <v>6879.35297777778</v>
      </c>
      <c r="N93" s="65" t="n">
        <f aca="false">N9*(MIN(((Assumptions!$D$88*IF(Assumptions!N$206=2027,1+Assumptions!$F$193,1))/12),Assumptions!N$222)*(Assumptions!$C$56+Assumptions!$C$57)+MAX(0,MIN(((Assumptions!$D$88*IF(Assumptions!N$206=2027,1+Assumptions!$F$193,1))/12),8*Assumptions!N$222)-Assumptions!N$222)*(Assumptions!$C$58+Assumptions!$C$59)+IF(((Assumptions!$D$88*IF(Assumptions!N$206=2027,1+Assumptions!$F$193,1))/12)&gt;Assumptions!N$222,MIN(((Assumptions!$D$88*IF(Assumptions!N$206=2027,1+Assumptions!$F$193,1))/12),8*Assumptions!N$222)*Assumptions!$C$60+MIN(((Assumptions!$D$88*IF(Assumptions!N$206=2027,1+Assumptions!$F$193,1))/12),4*Assumptions!N$222)*Assumptions!$C$61,0))</f>
        <v>6822.0250362963</v>
      </c>
      <c r="O93" s="65" t="n">
        <f aca="false">O9*(MIN(((Assumptions!$D$88*IF(Assumptions!O$206=2027,1+Assumptions!$F$193,1))/12),Assumptions!O$222)*(Assumptions!$C$56+Assumptions!$C$57)+MAX(0,MIN(((Assumptions!$D$88*IF(Assumptions!O$206=2027,1+Assumptions!$F$193,1))/12),8*Assumptions!O$222)-Assumptions!O$222)*(Assumptions!$C$58+Assumptions!$C$59)+IF(((Assumptions!$D$88*IF(Assumptions!O$206=2027,1+Assumptions!$F$193,1))/12)&gt;Assumptions!O$222,MIN(((Assumptions!$D$88*IF(Assumptions!O$206=2027,1+Assumptions!$F$193,1))/12),8*Assumptions!O$222)*Assumptions!$C$60+MIN(((Assumptions!$D$88*IF(Assumptions!O$206=2027,1+Assumptions!$F$193,1))/12),4*Assumptions!O$222)*Assumptions!$C$61,0))</f>
        <v>6822.98451654938</v>
      </c>
      <c r="P93" s="65" t="n">
        <f aca="false">P9*(MIN(((Assumptions!$D$88*IF(Assumptions!P$206=2027,1+Assumptions!$F$193,1))/12),Assumptions!P$222)*(Assumptions!$C$56+Assumptions!$C$57)+MAX(0,MIN(((Assumptions!$D$88*IF(Assumptions!P$206=2027,1+Assumptions!$F$193,1))/12),8*Assumptions!P$222)-Assumptions!P$222)*(Assumptions!$C$58+Assumptions!$C$59)+IF(((Assumptions!$D$88*IF(Assumptions!P$206=2027,1+Assumptions!$F$193,1))/12)&gt;Assumptions!P$222,MIN(((Assumptions!$D$88*IF(Assumptions!P$206=2027,1+Assumptions!$F$193,1))/12),8*Assumptions!P$222)*Assumptions!$C$60+MIN(((Assumptions!$D$88*IF(Assumptions!P$206=2027,1+Assumptions!$F$193,1))/12),4*Assumptions!P$222)*Assumptions!$C$61,0))</f>
        <v>6823.45425372629</v>
      </c>
      <c r="Q93" s="65" t="n">
        <f aca="false">Q9*(MIN(((Assumptions!$D$88*IF(Assumptions!Q$206=2027,1+Assumptions!$F$193,1))/12),Assumptions!Q$222)*(Assumptions!$C$56+Assumptions!$C$57)+MAX(0,MIN(((Assumptions!$D$88*IF(Assumptions!Q$206=2027,1+Assumptions!$F$193,1))/12),8*Assumptions!Q$222)-Assumptions!Q$222)*(Assumptions!$C$58+Assumptions!$C$59)+IF(((Assumptions!$D$88*IF(Assumptions!Q$206=2027,1+Assumptions!$F$193,1))/12)&gt;Assumptions!Q$222,MIN(((Assumptions!$D$88*IF(Assumptions!Q$206=2027,1+Assumptions!$F$193,1))/12),8*Assumptions!Q$222)*Assumptions!$C$60+MIN(((Assumptions!$D$88*IF(Assumptions!Q$206=2027,1+Assumptions!$F$193,1))/12),4*Assumptions!Q$222)*Assumptions!$C$61,0))</f>
        <v>7951.78614859348</v>
      </c>
      <c r="R93" s="65" t="n">
        <f aca="false">R9*(MIN(((Assumptions!$D$88*IF(Assumptions!R$206=2027,1+Assumptions!$F$193,1))/12),Assumptions!R$222)*(Assumptions!$C$56+Assumptions!$C$57)+MAX(0,MIN(((Assumptions!$D$88*IF(Assumptions!R$206=2027,1+Assumptions!$F$193,1))/12),8*Assumptions!R$222)-Assumptions!R$222)*(Assumptions!$C$58+Assumptions!$C$59)+IF(((Assumptions!$D$88*IF(Assumptions!R$206=2027,1+Assumptions!$F$193,1))/12)&gt;Assumptions!R$222,MIN(((Assumptions!$D$88*IF(Assumptions!R$206=2027,1+Assumptions!$F$193,1))/12),8*Assumptions!R$222)*Assumptions!$C$60+MIN(((Assumptions!$D$88*IF(Assumptions!R$206=2027,1+Assumptions!$F$193,1))/12),4*Assumptions!R$222)*Assumptions!$C$61,0))</f>
        <v>7944.31056601244</v>
      </c>
      <c r="S93" s="65" t="n">
        <f aca="false">S9*(MIN(((Assumptions!$D$88*IF(Assumptions!S$206=2027,1+Assumptions!$F$193,1))/12),Assumptions!S$222)*(Assumptions!$C$56+Assumptions!$C$57)+MAX(0,MIN(((Assumptions!$D$88*IF(Assumptions!S$206=2027,1+Assumptions!$F$193,1))/12),8*Assumptions!S$222)-Assumptions!S$222)*(Assumptions!$C$58+Assumptions!$C$59)+IF(((Assumptions!$D$88*IF(Assumptions!S$206=2027,1+Assumptions!$F$193,1))/12)&gt;Assumptions!S$222,MIN(((Assumptions!$D$88*IF(Assumptions!S$206=2027,1+Assumptions!$F$193,1))/12),8*Assumptions!S$222)*Assumptions!$C$60+MIN(((Assumptions!$D$88*IF(Assumptions!S$206=2027,1+Assumptions!$F$193,1))/12),4*Assumptions!S$222)*Assumptions!$C$61,0))</f>
        <v>7936.90132737828</v>
      </c>
      <c r="T93" s="65" t="n">
        <f aca="false">T9*(MIN(((Assumptions!$D$88*IF(Assumptions!T$206=2027,1+Assumptions!$F$193,1))/12),Assumptions!T$222)*(Assumptions!$C$56+Assumptions!$C$57)+MAX(0,MIN(((Assumptions!$D$88*IF(Assumptions!T$206=2027,1+Assumptions!$F$193,1))/12),8*Assumptions!T$222)-Assumptions!T$222)*(Assumptions!$C$58+Assumptions!$C$59)+IF(((Assumptions!$D$88*IF(Assumptions!T$206=2027,1+Assumptions!$F$193,1))/12)&gt;Assumptions!T$222,MIN(((Assumptions!$D$88*IF(Assumptions!T$206=2027,1+Assumptions!$F$193,1))/12),8*Assumptions!T$222)*Assumptions!$C$60+MIN(((Assumptions!$D$88*IF(Assumptions!T$206=2027,1+Assumptions!$F$193,1))/12),4*Assumptions!T$222)*Assumptions!$C$61,0))</f>
        <v>7937.02536755508</v>
      </c>
      <c r="U93" s="65" t="n">
        <f aca="false">U9*(MIN(((Assumptions!$D$88*IF(Assumptions!U$206=2027,1+Assumptions!$F$193,1))/12),Assumptions!U$222)*(Assumptions!$C$56+Assumptions!$C$57)+MAX(0,MIN(((Assumptions!$D$88*IF(Assumptions!U$206=2027,1+Assumptions!$F$193,1))/12),8*Assumptions!U$222)-Assumptions!U$222)*(Assumptions!$C$58+Assumptions!$C$59)+IF(((Assumptions!$D$88*IF(Assumptions!U$206=2027,1+Assumptions!$F$193,1))/12)&gt;Assumptions!U$222,MIN(((Assumptions!$D$88*IF(Assumptions!U$206=2027,1+Assumptions!$F$193,1))/12),8*Assumptions!U$222)*Assumptions!$C$60+MIN(((Assumptions!$D$88*IF(Assumptions!U$206=2027,1+Assumptions!$F$193,1))/12),4*Assumptions!U$222)*Assumptions!$C$61,0))</f>
        <v>7937.08607754222</v>
      </c>
      <c r="V93" s="65" t="n">
        <f aca="false">V9*(MIN(((Assumptions!$D$88*IF(Assumptions!V$206=2027,1+Assumptions!$F$193,1))/12),Assumptions!V$222)*(Assumptions!$C$56+Assumptions!$C$57)+MAX(0,MIN(((Assumptions!$D$88*IF(Assumptions!V$206=2027,1+Assumptions!$F$193,1))/12),8*Assumptions!V$222)-Assumptions!V$222)*(Assumptions!$C$58+Assumptions!$C$59)+IF(((Assumptions!$D$88*IF(Assumptions!V$206=2027,1+Assumptions!$F$193,1))/12)&gt;Assumptions!V$222,MIN(((Assumptions!$D$88*IF(Assumptions!V$206=2027,1+Assumptions!$F$193,1))/12),8*Assumptions!V$222)*Assumptions!$C$60+MIN(((Assumptions!$D$88*IF(Assumptions!V$206=2027,1+Assumptions!$F$193,1))/12),4*Assumptions!V$222)*Assumptions!$C$61,0))</f>
        <v>7937.08453795752</v>
      </c>
      <c r="W93" s="65" t="n">
        <f aca="false">W9*(MIN(((Assumptions!$D$88*IF(Assumptions!W$206=2027,1+Assumptions!$F$193,1))/12),Assumptions!W$222)*(Assumptions!$C$56+Assumptions!$C$57)+MAX(0,MIN(((Assumptions!$D$88*IF(Assumptions!W$206=2027,1+Assumptions!$F$193,1))/12),8*Assumptions!W$222)-Assumptions!W$222)*(Assumptions!$C$58+Assumptions!$C$59)+IF(((Assumptions!$D$88*IF(Assumptions!W$206=2027,1+Assumptions!$F$193,1))/12)&gt;Assumptions!W$222,MIN(((Assumptions!$D$88*IF(Assumptions!W$206=2027,1+Assumptions!$F$193,1))/12),8*Assumptions!W$222)*Assumptions!$C$60+MIN(((Assumptions!$D$88*IF(Assumptions!W$206=2027,1+Assumptions!$F$193,1))/12),4*Assumptions!W$222)*Assumptions!$C$61,0))</f>
        <v>7937.08404487083</v>
      </c>
      <c r="X93" s="65" t="n">
        <f aca="false">X9*(MIN(((Assumptions!$D$88*IF(Assumptions!X$206=2027,1+Assumptions!$F$193,1))/12),Assumptions!X$222)*(Assumptions!$C$56+Assumptions!$C$57)+MAX(0,MIN(((Assumptions!$D$88*IF(Assumptions!X$206=2027,1+Assumptions!$F$193,1))/12),8*Assumptions!X$222)-Assumptions!X$222)*(Assumptions!$C$58+Assumptions!$C$59)+IF(((Assumptions!$D$88*IF(Assumptions!X$206=2027,1+Assumptions!$F$193,1))/12)&gt;Assumptions!X$222,MIN(((Assumptions!$D$88*IF(Assumptions!X$206=2027,1+Assumptions!$F$193,1))/12),8*Assumptions!X$222)*Assumptions!$C$60+MIN(((Assumptions!$D$88*IF(Assumptions!X$206=2027,1+Assumptions!$F$193,1))/12),4*Assumptions!X$222)*Assumptions!$C$61,0))</f>
        <v>7937.08406180976</v>
      </c>
      <c r="Y93" s="65" t="n">
        <f aca="false">Y9*(MIN(((Assumptions!$D$88*IF(Assumptions!Y$206=2027,1+Assumptions!$F$193,1))/12),Assumptions!Y$222)*(Assumptions!$C$56+Assumptions!$C$57)+MAX(0,MIN(((Assumptions!$D$88*IF(Assumptions!Y$206=2027,1+Assumptions!$F$193,1))/12),8*Assumptions!Y$222)-Assumptions!Y$222)*(Assumptions!$C$58+Assumptions!$C$59)+IF(((Assumptions!$D$88*IF(Assumptions!Y$206=2027,1+Assumptions!$F$193,1))/12)&gt;Assumptions!Y$222,MIN(((Assumptions!$D$88*IF(Assumptions!Y$206=2027,1+Assumptions!$F$193,1))/12),8*Assumptions!Y$222)*Assumptions!$C$60+MIN(((Assumptions!$D$88*IF(Assumptions!Y$206=2027,1+Assumptions!$F$193,1))/12),4*Assumptions!Y$222)*Assumptions!$C$61,0))</f>
        <v>7937.08406577766</v>
      </c>
      <c r="Z93" s="65" t="n">
        <f aca="false">Z9*(MIN(((Assumptions!$D$88*IF(Assumptions!Z$206=2027,1+Assumptions!$F$193,1))/12),Assumptions!Z$222)*(Assumptions!$C$56+Assumptions!$C$57)+MAX(0,MIN(((Assumptions!$D$88*IF(Assumptions!Z$206=2027,1+Assumptions!$F$193,1))/12),8*Assumptions!Z$222)-Assumptions!Z$222)*(Assumptions!$C$58+Assumptions!$C$59)+IF(((Assumptions!$D$88*IF(Assumptions!Z$206=2027,1+Assumptions!$F$193,1))/12)&gt;Assumptions!Z$222,MIN(((Assumptions!$D$88*IF(Assumptions!Z$206=2027,1+Assumptions!$F$193,1))/12),8*Assumptions!Z$222)*Assumptions!$C$60+MIN(((Assumptions!$D$88*IF(Assumptions!Z$206=2027,1+Assumptions!$F$193,1))/12),4*Assumptions!Z$222)*Assumptions!$C$61,0))</f>
        <v>7937.08406560344</v>
      </c>
      <c r="AA93" s="65" t="n">
        <f aca="false">AA9*(MIN(((Assumptions!$D$88*IF(Assumptions!AA$206=2027,1+Assumptions!$F$193,1))/12),Assumptions!AA$222)*(Assumptions!$C$56+Assumptions!$C$57)+MAX(0,MIN(((Assumptions!$D$88*IF(Assumptions!AA$206=2027,1+Assumptions!$F$193,1))/12),8*Assumptions!AA$222)-Assumptions!AA$222)*(Assumptions!$C$58+Assumptions!$C$59)+IF(((Assumptions!$D$88*IF(Assumptions!AA$206=2027,1+Assumptions!$F$193,1))/12)&gt;Assumptions!AA$222,MIN(((Assumptions!$D$88*IF(Assumptions!AA$206=2027,1+Assumptions!$F$193,1))/12),8*Assumptions!AA$222)*Assumptions!$C$60+MIN(((Assumptions!$D$88*IF(Assumptions!AA$206=2027,1+Assumptions!$F$193,1))/12),4*Assumptions!AA$222)*Assumptions!$C$61,0))</f>
        <v>7937.08406557182</v>
      </c>
      <c r="AB93" s="65" t="n">
        <f aca="false">AB9*(MIN(((Assumptions!$D$88*IF(Assumptions!AB$206=2027,1+Assumptions!$F$193,1))/12),Assumptions!AB$222)*(Assumptions!$C$56+Assumptions!$C$57)+MAX(0,MIN(((Assumptions!$D$88*IF(Assumptions!AB$206=2027,1+Assumptions!$F$193,1))/12),8*Assumptions!AB$222)-Assumptions!AB$222)*(Assumptions!$C$58+Assumptions!$C$59)+IF(((Assumptions!$D$88*IF(Assumptions!AB$206=2027,1+Assumptions!$F$193,1))/12)&gt;Assumptions!AB$222,MIN(((Assumptions!$D$88*IF(Assumptions!AB$206=2027,1+Assumptions!$F$193,1))/12),8*Assumptions!AB$222)*Assumptions!$C$60+MIN(((Assumptions!$D$88*IF(Assumptions!AB$206=2027,1+Assumptions!$F$193,1))/12),4*Assumptions!AB$222)*Assumptions!$C$61,0))</f>
        <v>7937.08406557354</v>
      </c>
    </row>
    <row r="94" customFormat="false" ht="15" hidden="false" customHeight="false" outlineLevel="0" collapsed="false">
      <c r="A94" s="28" t="s">
        <v>1180</v>
      </c>
      <c r="B94" s="62" t="s">
        <v>1179</v>
      </c>
      <c r="C94" s="64" t="n">
        <f aca="false">SUM(E94:P94)</f>
        <v>85799.8068804125</v>
      </c>
      <c r="D94" s="64" t="n">
        <f aca="false">SUM(Q94:AB94)</f>
        <v>99843.8053403148</v>
      </c>
      <c r="E94" s="65" t="n">
        <f aca="false">E10*(MIN(((Assumptions!$D$89*IF(Assumptions!E$206=2027,1+Assumptions!$F$193,1))/12),Assumptions!E$222)*(Assumptions!$C$56+Assumptions!$C$57)+MAX(0,MIN(((Assumptions!$D$89*IF(Assumptions!E$206=2027,1+Assumptions!$F$193,1))/12),8*Assumptions!E$222)-Assumptions!E$222)*(Assumptions!$C$58+Assumptions!$C$59)+IF(((Assumptions!$D$89*IF(Assumptions!E$206=2027,1+Assumptions!$F$193,1))/12)&gt;Assumptions!E$222,MIN(((Assumptions!$D$89*IF(Assumptions!E$206=2027,1+Assumptions!$F$193,1))/12),8*Assumptions!E$222)*Assumptions!$C$60+MIN(((Assumptions!$D$89*IF(Assumptions!E$206=2027,1+Assumptions!$F$193,1))/12),4*Assumptions!E$222)*Assumptions!$C$61,0))</f>
        <v>6822.332</v>
      </c>
      <c r="F94" s="65" t="n">
        <f aca="false">F10*(MIN(((Assumptions!$D$89*IF(Assumptions!F$206=2027,1+Assumptions!$F$193,1))/12),Assumptions!F$222)*(Assumptions!$C$56+Assumptions!$C$57)+MAX(0,MIN(((Assumptions!$D$89*IF(Assumptions!F$206=2027,1+Assumptions!$F$193,1))/12),8*Assumptions!F$222)-Assumptions!F$222)*(Assumptions!$C$58+Assumptions!$C$59)+IF(((Assumptions!$D$89*IF(Assumptions!F$206=2027,1+Assumptions!$F$193,1))/12)&gt;Assumptions!F$222,MIN(((Assumptions!$D$89*IF(Assumptions!F$206=2027,1+Assumptions!$F$193,1))/12),8*Assumptions!F$222)*Assumptions!$C$60+MIN(((Assumptions!$D$89*IF(Assumptions!F$206=2027,1+Assumptions!$F$193,1))/12),4*Assumptions!F$222)*Assumptions!$C$61,0))</f>
        <v>6822.332</v>
      </c>
      <c r="G94" s="65" t="n">
        <f aca="false">G10*(MIN(((Assumptions!$D$89*IF(Assumptions!G$206=2027,1+Assumptions!$F$193,1))/12),Assumptions!G$222)*(Assumptions!$C$56+Assumptions!$C$57)+MAX(0,MIN(((Assumptions!$D$89*IF(Assumptions!G$206=2027,1+Assumptions!$F$193,1))/12),8*Assumptions!G$222)-Assumptions!G$222)*(Assumptions!$C$58+Assumptions!$C$59)+IF(((Assumptions!$D$89*IF(Assumptions!G$206=2027,1+Assumptions!$F$193,1))/12)&gt;Assumptions!G$222,MIN(((Assumptions!$D$89*IF(Assumptions!G$206=2027,1+Assumptions!$F$193,1))/12),8*Assumptions!G$222)*Assumptions!$C$60+MIN(((Assumptions!$D$89*IF(Assumptions!G$206=2027,1+Assumptions!$F$193,1))/12),4*Assumptions!G$222)*Assumptions!$C$61,0))</f>
        <v>6822.332</v>
      </c>
      <c r="H94" s="65" t="n">
        <f aca="false">H10*(MIN(((Assumptions!$D$89*IF(Assumptions!H$206=2027,1+Assumptions!$F$193,1))/12),Assumptions!H$222)*(Assumptions!$C$56+Assumptions!$C$57)+MAX(0,MIN(((Assumptions!$D$89*IF(Assumptions!H$206=2027,1+Assumptions!$F$193,1))/12),8*Assumptions!H$222)-Assumptions!H$222)*(Assumptions!$C$58+Assumptions!$C$59)+IF(((Assumptions!$D$89*IF(Assumptions!H$206=2027,1+Assumptions!$F$193,1))/12)&gt;Assumptions!H$222,MIN(((Assumptions!$D$89*IF(Assumptions!H$206=2027,1+Assumptions!$F$193,1))/12),8*Assumptions!H$222)*Assumptions!$C$60+MIN(((Assumptions!$D$89*IF(Assumptions!H$206=2027,1+Assumptions!$F$193,1))/12),4*Assumptions!H$222)*Assumptions!$C$61,0))</f>
        <v>7442.544</v>
      </c>
      <c r="I94" s="65" t="n">
        <f aca="false">I10*(MIN(((Assumptions!$D$89*IF(Assumptions!I$206=2027,1+Assumptions!$F$193,1))/12),Assumptions!I$222)*(Assumptions!$C$56+Assumptions!$C$57)+MAX(0,MIN(((Assumptions!$D$89*IF(Assumptions!I$206=2027,1+Assumptions!$F$193,1))/12),8*Assumptions!I$222)-Assumptions!I$222)*(Assumptions!$C$58+Assumptions!$C$59)+IF(((Assumptions!$D$89*IF(Assumptions!I$206=2027,1+Assumptions!$F$193,1))/12)&gt;Assumptions!I$222,MIN(((Assumptions!$D$89*IF(Assumptions!I$206=2027,1+Assumptions!$F$193,1))/12),8*Assumptions!I$222)*Assumptions!$C$60+MIN(((Assumptions!$D$89*IF(Assumptions!I$206=2027,1+Assumptions!$F$193,1))/12),4*Assumptions!I$222)*Assumptions!$C$61,0))</f>
        <v>7442.544</v>
      </c>
      <c r="J94" s="65" t="n">
        <f aca="false">J10*(MIN(((Assumptions!$D$89*IF(Assumptions!J$206=2027,1+Assumptions!$F$193,1))/12),Assumptions!J$222)*(Assumptions!$C$56+Assumptions!$C$57)+MAX(0,MIN(((Assumptions!$D$89*IF(Assumptions!J$206=2027,1+Assumptions!$F$193,1))/12),8*Assumptions!J$222)-Assumptions!J$222)*(Assumptions!$C$58+Assumptions!$C$59)+IF(((Assumptions!$D$89*IF(Assumptions!J$206=2027,1+Assumptions!$F$193,1))/12)&gt;Assumptions!J$222,MIN(((Assumptions!$D$89*IF(Assumptions!J$206=2027,1+Assumptions!$F$193,1))/12),8*Assumptions!J$222)*Assumptions!$C$60+MIN(((Assumptions!$D$89*IF(Assumptions!J$206=2027,1+Assumptions!$F$193,1))/12),4*Assumptions!J$222)*Assumptions!$C$61,0))</f>
        <v>7442.544</v>
      </c>
      <c r="K94" s="65" t="n">
        <f aca="false">K10*(MIN(((Assumptions!$D$89*IF(Assumptions!K$206=2027,1+Assumptions!$F$193,1))/12),Assumptions!K$222)*(Assumptions!$C$56+Assumptions!$C$57)+MAX(0,MIN(((Assumptions!$D$89*IF(Assumptions!K$206=2027,1+Assumptions!$F$193,1))/12),8*Assumptions!K$222)-Assumptions!K$222)*(Assumptions!$C$58+Assumptions!$C$59)+IF(((Assumptions!$D$89*IF(Assumptions!K$206=2027,1+Assumptions!$F$193,1))/12)&gt;Assumptions!K$222,MIN(((Assumptions!$D$89*IF(Assumptions!K$206=2027,1+Assumptions!$F$193,1))/12),8*Assumptions!K$222)*Assumptions!$C$60+MIN(((Assumptions!$D$89*IF(Assumptions!K$206=2027,1+Assumptions!$F$193,1))/12),4*Assumptions!K$222)*Assumptions!$C$61,0))</f>
        <v>7442.544</v>
      </c>
      <c r="L94" s="65" t="n">
        <f aca="false">L10*(MIN(((Assumptions!$D$89*IF(Assumptions!L$206=2027,1+Assumptions!$F$193,1))/12),Assumptions!L$222)*(Assumptions!$C$56+Assumptions!$C$57)+MAX(0,MIN(((Assumptions!$D$89*IF(Assumptions!L$206=2027,1+Assumptions!$F$193,1))/12),8*Assumptions!L$222)-Assumptions!L$222)*(Assumptions!$C$58+Assumptions!$C$59)+IF(((Assumptions!$D$89*IF(Assumptions!L$206=2027,1+Assumptions!$F$193,1))/12)&gt;Assumptions!L$222,MIN(((Assumptions!$D$89*IF(Assumptions!L$206=2027,1+Assumptions!$F$193,1))/12),8*Assumptions!L$222)*Assumptions!$C$60+MIN(((Assumptions!$D$89*IF(Assumptions!L$206=2027,1+Assumptions!$F$193,1))/12),4*Assumptions!L$222)*Assumptions!$C$61,0))</f>
        <v>6822.332</v>
      </c>
      <c r="M94" s="65" t="n">
        <f aca="false">M10*(MIN(((Assumptions!$D$89*IF(Assumptions!M$206=2027,1+Assumptions!$F$193,1))/12),Assumptions!M$222)*(Assumptions!$C$56+Assumptions!$C$57)+MAX(0,MIN(((Assumptions!$D$89*IF(Assumptions!M$206=2027,1+Assumptions!$F$193,1))/12),8*Assumptions!M$222)-Assumptions!M$222)*(Assumptions!$C$58+Assumptions!$C$59)+IF(((Assumptions!$D$89*IF(Assumptions!M$206=2027,1+Assumptions!$F$193,1))/12)&gt;Assumptions!M$222,MIN(((Assumptions!$D$89*IF(Assumptions!M$206=2027,1+Assumptions!$F$193,1))/12),8*Assumptions!M$222)*Assumptions!$C$60+MIN(((Assumptions!$D$89*IF(Assumptions!M$206=2027,1+Assumptions!$F$193,1))/12),4*Assumptions!M$222)*Assumptions!$C$61,0))</f>
        <v>6765.47923333333</v>
      </c>
      <c r="N94" s="65" t="n">
        <f aca="false">N10*(MIN(((Assumptions!$D$89*IF(Assumptions!N$206=2027,1+Assumptions!$F$193,1))/12),Assumptions!N$222)*(Assumptions!$C$56+Assumptions!$C$57)+MAX(0,MIN(((Assumptions!$D$89*IF(Assumptions!N$206=2027,1+Assumptions!$F$193,1))/12),8*Assumptions!N$222)-Assumptions!N$222)*(Assumptions!$C$58+Assumptions!$C$59)+IF(((Assumptions!$D$89*IF(Assumptions!N$206=2027,1+Assumptions!$F$193,1))/12)&gt;Assumptions!N$222,MIN(((Assumptions!$D$89*IF(Assumptions!N$206=2027,1+Assumptions!$F$193,1))/12),8*Assumptions!N$222)*Assumptions!$C$60+MIN(((Assumptions!$D$89*IF(Assumptions!N$206=2027,1+Assumptions!$F$193,1))/12),4*Assumptions!N$222)*Assumptions!$C$61,0))</f>
        <v>7329.31223972222</v>
      </c>
      <c r="O94" s="65" t="n">
        <f aca="false">O10*(MIN(((Assumptions!$D$89*IF(Assumptions!O$206=2027,1+Assumptions!$F$193,1))/12),Assumptions!O$222)*(Assumptions!$C$56+Assumptions!$C$57)+MAX(0,MIN(((Assumptions!$D$89*IF(Assumptions!O$206=2027,1+Assumptions!$F$193,1))/12),8*Assumptions!O$222)-Assumptions!O$222)*(Assumptions!$C$58+Assumptions!$C$59)+IF(((Assumptions!$D$89*IF(Assumptions!O$206=2027,1+Assumptions!$F$193,1))/12)&gt;Assumptions!O$222,MIN(((Assumptions!$D$89*IF(Assumptions!O$206=2027,1+Assumptions!$F$193,1))/12),8*Assumptions!O$222)*Assumptions!$C$60+MIN(((Assumptions!$D$89*IF(Assumptions!O$206=2027,1+Assumptions!$F$193,1))/12),4*Assumptions!O$222)*Assumptions!$C$61,0))</f>
        <v>7325.0874043912</v>
      </c>
      <c r="P94" s="65" t="n">
        <f aca="false">P10*(MIN(((Assumptions!$D$89*IF(Assumptions!P$206=2027,1+Assumptions!$F$193,1))/12),Assumptions!P$222)*(Assumptions!$C$56+Assumptions!$C$57)+MAX(0,MIN(((Assumptions!$D$89*IF(Assumptions!P$206=2027,1+Assumptions!$F$193,1))/12),8*Assumptions!P$222)-Assumptions!P$222)*(Assumptions!$C$58+Assumptions!$C$59)+IF(((Assumptions!$D$89*IF(Assumptions!P$206=2027,1+Assumptions!$F$193,1))/12)&gt;Assumptions!P$222,MIN(((Assumptions!$D$89*IF(Assumptions!P$206=2027,1+Assumptions!$F$193,1))/12),8*Assumptions!P$222)*Assumptions!$C$60+MIN(((Assumptions!$D$89*IF(Assumptions!P$206=2027,1+Assumptions!$F$193,1))/12),4*Assumptions!P$222)*Assumptions!$C$61,0))</f>
        <v>7320.42400296572</v>
      </c>
      <c r="Q94" s="65" t="n">
        <f aca="false">Q10*(MIN(((Assumptions!$D$89*IF(Assumptions!Q$206=2027,1+Assumptions!$F$193,1))/12),Assumptions!Q$222)*(Assumptions!$C$56+Assumptions!$C$57)+MAX(0,MIN(((Assumptions!$D$89*IF(Assumptions!Q$206=2027,1+Assumptions!$F$193,1))/12),8*Assumptions!Q$222)-Assumptions!Q$222)*(Assumptions!$C$58+Assumptions!$C$59)+IF(((Assumptions!$D$89*IF(Assumptions!Q$206=2027,1+Assumptions!$F$193,1))/12)&gt;Assumptions!Q$222,MIN(((Assumptions!$D$89*IF(Assumptions!Q$206=2027,1+Assumptions!$F$193,1))/12),8*Assumptions!Q$222)*Assumptions!$C$60+MIN(((Assumptions!$D$89*IF(Assumptions!Q$206=2027,1+Assumptions!$F$193,1))/12),4*Assumptions!Q$222)*Assumptions!$C$61,0))</f>
        <v>7580.67878899233</v>
      </c>
      <c r="R94" s="65" t="n">
        <f aca="false">R10*(MIN(((Assumptions!$D$89*IF(Assumptions!R$206=2027,1+Assumptions!$F$193,1))/12),Assumptions!R$222)*(Assumptions!$C$56+Assumptions!$C$57)+MAX(0,MIN(((Assumptions!$D$89*IF(Assumptions!R$206=2027,1+Assumptions!$F$193,1))/12),8*Assumptions!R$222)-Assumptions!R$222)*(Assumptions!$C$58+Assumptions!$C$59)+IF(((Assumptions!$D$89*IF(Assumptions!R$206=2027,1+Assumptions!$F$193,1))/12)&gt;Assumptions!R$222,MIN(((Assumptions!$D$89*IF(Assumptions!R$206=2027,1+Assumptions!$F$193,1))/12),8*Assumptions!R$222)*Assumptions!$C$60+MIN(((Assumptions!$D$89*IF(Assumptions!R$206=2027,1+Assumptions!$F$193,1))/12),4*Assumptions!R$222)*Assumptions!$C$61,0))</f>
        <v>7580.71839269298</v>
      </c>
      <c r="S94" s="65" t="n">
        <f aca="false">S10*(MIN(((Assumptions!$D$89*IF(Assumptions!S$206=2027,1+Assumptions!$F$193,1))/12),Assumptions!S$222)*(Assumptions!$C$56+Assumptions!$C$57)+MAX(0,MIN(((Assumptions!$D$89*IF(Assumptions!S$206=2027,1+Assumptions!$F$193,1))/12),8*Assumptions!S$222)-Assumptions!S$222)*(Assumptions!$C$58+Assumptions!$C$59)+IF(((Assumptions!$D$89*IF(Assumptions!S$206=2027,1+Assumptions!$F$193,1))/12)&gt;Assumptions!S$222,MIN(((Assumptions!$D$89*IF(Assumptions!S$206=2027,1+Assumptions!$F$193,1))/12),8*Assumptions!S$222)*Assumptions!$C$60+MIN(((Assumptions!$D$89*IF(Assumptions!S$206=2027,1+Assumptions!$F$193,1))/12),4*Assumptions!S$222)*Assumptions!$C$61,0))</f>
        <v>8222.97262348596</v>
      </c>
      <c r="T94" s="65" t="n">
        <f aca="false">T10*(MIN(((Assumptions!$D$89*IF(Assumptions!T$206=2027,1+Assumptions!$F$193,1))/12),Assumptions!T$222)*(Assumptions!$C$56+Assumptions!$C$57)+MAX(0,MIN(((Assumptions!$D$89*IF(Assumptions!T$206=2027,1+Assumptions!$F$193,1))/12),8*Assumptions!T$222)-Assumptions!T$222)*(Assumptions!$C$58+Assumptions!$C$59)+IF(((Assumptions!$D$89*IF(Assumptions!T$206=2027,1+Assumptions!$F$193,1))/12)&gt;Assumptions!T$222,MIN(((Assumptions!$D$89*IF(Assumptions!T$206=2027,1+Assumptions!$F$193,1))/12),8*Assumptions!T$222)*Assumptions!$C$60+MIN(((Assumptions!$D$89*IF(Assumptions!T$206=2027,1+Assumptions!$F$193,1))/12),4*Assumptions!T$222)*Assumptions!$C$61,0))</f>
        <v>8217.62017486518</v>
      </c>
      <c r="U94" s="65" t="n">
        <f aca="false">U10*(MIN(((Assumptions!$D$89*IF(Assumptions!U$206=2027,1+Assumptions!$F$193,1))/12),Assumptions!U$222)*(Assumptions!$C$56+Assumptions!$C$57)+MAX(0,MIN(((Assumptions!$D$89*IF(Assumptions!U$206=2027,1+Assumptions!$F$193,1))/12),8*Assumptions!U$222)-Assumptions!U$222)*(Assumptions!$C$58+Assumptions!$C$59)+IF(((Assumptions!$D$89*IF(Assumptions!U$206=2027,1+Assumptions!$F$193,1))/12)&gt;Assumptions!U$222,MIN(((Assumptions!$D$89*IF(Assumptions!U$206=2027,1+Assumptions!$F$193,1))/12),8*Assumptions!U$222)*Assumptions!$C$60+MIN(((Assumptions!$D$89*IF(Assumptions!U$206=2027,1+Assumptions!$F$193,1))/12),4*Assumptions!U$222)*Assumptions!$C$61,0))</f>
        <v>8212.31266001374</v>
      </c>
      <c r="V94" s="65" t="n">
        <f aca="false">V10*(MIN(((Assumptions!$D$89*IF(Assumptions!V$206=2027,1+Assumptions!$F$193,1))/12),Assumptions!V$222)*(Assumptions!$C$56+Assumptions!$C$57)+MAX(0,MIN(((Assumptions!$D$89*IF(Assumptions!V$206=2027,1+Assumptions!$F$193,1))/12),8*Assumptions!V$222)-Assumptions!V$222)*(Assumptions!$C$58+Assumptions!$C$59)+IF(((Assumptions!$D$89*IF(Assumptions!V$206=2027,1+Assumptions!$F$193,1))/12)&gt;Assumptions!V$222,MIN(((Assumptions!$D$89*IF(Assumptions!V$206=2027,1+Assumptions!$F$193,1))/12),8*Assumptions!V$222)*Assumptions!$C$60+MIN(((Assumptions!$D$89*IF(Assumptions!V$206=2027,1+Assumptions!$F$193,1))/12),4*Assumptions!V$222)*Assumptions!$C$61,0))</f>
        <v>8212.40149304268</v>
      </c>
      <c r="W94" s="65" t="n">
        <f aca="false">W10*(MIN(((Assumptions!$D$89*IF(Assumptions!W$206=2027,1+Assumptions!$F$193,1))/12),Assumptions!W$222)*(Assumptions!$C$56+Assumptions!$C$57)+MAX(0,MIN(((Assumptions!$D$89*IF(Assumptions!W$206=2027,1+Assumptions!$F$193,1))/12),8*Assumptions!W$222)-Assumptions!W$222)*(Assumptions!$C$58+Assumptions!$C$59)+IF(((Assumptions!$D$89*IF(Assumptions!W$206=2027,1+Assumptions!$F$193,1))/12)&gt;Assumptions!W$222,MIN(((Assumptions!$D$89*IF(Assumptions!W$206=2027,1+Assumptions!$F$193,1))/12),8*Assumptions!W$222)*Assumptions!$C$60+MIN(((Assumptions!$D$89*IF(Assumptions!W$206=2027,1+Assumptions!$F$193,1))/12),4*Assumptions!W$222)*Assumptions!$C$61,0))</f>
        <v>8212.44498205786</v>
      </c>
      <c r="X94" s="65" t="n">
        <f aca="false">X10*(MIN(((Assumptions!$D$89*IF(Assumptions!X$206=2027,1+Assumptions!$F$193,1))/12),Assumptions!X$222)*(Assumptions!$C$56+Assumptions!$C$57)+MAX(0,MIN(((Assumptions!$D$89*IF(Assumptions!X$206=2027,1+Assumptions!$F$193,1))/12),8*Assumptions!X$222)-Assumptions!X$222)*(Assumptions!$C$58+Assumptions!$C$59)+IF(((Assumptions!$D$89*IF(Assumptions!X$206=2027,1+Assumptions!$F$193,1))/12)&gt;Assumptions!X$222,MIN(((Assumptions!$D$89*IF(Assumptions!X$206=2027,1+Assumptions!$F$193,1))/12),8*Assumptions!X$222)*Assumptions!$C$60+MIN(((Assumptions!$D$89*IF(Assumptions!X$206=2027,1+Assumptions!$F$193,1))/12),4*Assumptions!X$222)*Assumptions!$C$61,0))</f>
        <v>8212.44387937416</v>
      </c>
      <c r="Y94" s="65" t="n">
        <f aca="false">Y10*(MIN(((Assumptions!$D$89*IF(Assumptions!Y$206=2027,1+Assumptions!$F$193,1))/12),Assumptions!Y$222)*(Assumptions!$C$56+Assumptions!$C$57)+MAX(0,MIN(((Assumptions!$D$89*IF(Assumptions!Y$206=2027,1+Assumptions!$F$193,1))/12),8*Assumptions!Y$222)-Assumptions!Y$222)*(Assumptions!$C$58+Assumptions!$C$59)+IF(((Assumptions!$D$89*IF(Assumptions!Y$206=2027,1+Assumptions!$F$193,1))/12)&gt;Assumptions!Y$222,MIN(((Assumptions!$D$89*IF(Assumptions!Y$206=2027,1+Assumptions!$F$193,1))/12),8*Assumptions!Y$222)*Assumptions!$C$60+MIN(((Assumptions!$D$89*IF(Assumptions!Y$206=2027,1+Assumptions!$F$193,1))/12),4*Assumptions!Y$222)*Assumptions!$C$61,0))</f>
        <v>8854.69872615473</v>
      </c>
      <c r="Z94" s="65" t="n">
        <f aca="false">Z10*(MIN(((Assumptions!$D$89*IF(Assumptions!Z$206=2027,1+Assumptions!$F$193,1))/12),Assumptions!Z$222)*(Assumptions!$C$56+Assumptions!$C$57)+MAX(0,MIN(((Assumptions!$D$89*IF(Assumptions!Z$206=2027,1+Assumptions!$F$193,1))/12),8*Assumptions!Z$222)-Assumptions!Z$222)*(Assumptions!$C$58+Assumptions!$C$59)+IF(((Assumptions!$D$89*IF(Assumptions!Z$206=2027,1+Assumptions!$F$193,1))/12)&gt;Assumptions!Z$222,MIN(((Assumptions!$D$89*IF(Assumptions!Z$206=2027,1+Assumptions!$F$193,1))/12),8*Assumptions!Z$222)*Assumptions!$C$60+MIN(((Assumptions!$D$89*IF(Assumptions!Z$206=2027,1+Assumptions!$F$193,1))/12),4*Assumptions!Z$222)*Assumptions!$C$61,0))</f>
        <v>8849.34661162059</v>
      </c>
      <c r="AA94" s="65" t="n">
        <f aca="false">AA10*(MIN(((Assumptions!$D$89*IF(Assumptions!AA$206=2027,1+Assumptions!$F$193,1))/12),Assumptions!AA$222)*(Assumptions!$C$56+Assumptions!$C$57)+MAX(0,MIN(((Assumptions!$D$89*IF(Assumptions!AA$206=2027,1+Assumptions!$F$193,1))/12),8*Assumptions!AA$222)-Assumptions!AA$222)*(Assumptions!$C$58+Assumptions!$C$59)+IF(((Assumptions!$D$89*IF(Assumptions!AA$206=2027,1+Assumptions!$F$193,1))/12)&gt;Assumptions!AA$222,MIN(((Assumptions!$D$89*IF(Assumptions!AA$206=2027,1+Assumptions!$F$193,1))/12),8*Assumptions!AA$222)*Assumptions!$C$60+MIN(((Assumptions!$D$89*IF(Assumptions!AA$206=2027,1+Assumptions!$F$193,1))/12),4*Assumptions!AA$222)*Assumptions!$C$61,0))</f>
        <v>8844.03908885187</v>
      </c>
      <c r="AB94" s="65" t="n">
        <f aca="false">AB10*(MIN(((Assumptions!$D$89*IF(Assumptions!AB$206=2027,1+Assumptions!$F$193,1))/12),Assumptions!AB$222)*(Assumptions!$C$56+Assumptions!$C$57)+MAX(0,MIN(((Assumptions!$D$89*IF(Assumptions!AB$206=2027,1+Assumptions!$F$193,1))/12),8*Assumptions!AB$222)-Assumptions!AB$222)*(Assumptions!$C$58+Assumptions!$C$59)+IF(((Assumptions!$D$89*IF(Assumptions!AB$206=2027,1+Assumptions!$F$193,1))/12)&gt;Assumptions!AB$222,MIN(((Assumptions!$D$89*IF(Assumptions!AB$206=2027,1+Assumptions!$F$193,1))/12),8*Assumptions!AB$222)*Assumptions!$C$60+MIN(((Assumptions!$D$89*IF(Assumptions!AB$206=2027,1+Assumptions!$F$193,1))/12),4*Assumptions!AB$222)*Assumptions!$C$61,0))</f>
        <v>8844.12791916273</v>
      </c>
    </row>
    <row r="95" customFormat="false" ht="15" hidden="false" customHeight="false" outlineLevel="0" collapsed="false">
      <c r="A95" s="28" t="s">
        <v>1181</v>
      </c>
      <c r="B95" s="62" t="s">
        <v>1179</v>
      </c>
      <c r="C95" s="64" t="n">
        <f aca="false">SUM(E95:P95)</f>
        <v>85615.5729684073</v>
      </c>
      <c r="D95" s="64" t="n">
        <f aca="false">SUM(Q95:AB95)</f>
        <v>105839.107713691</v>
      </c>
      <c r="E95" s="65" t="n">
        <f aca="false">E11*(MIN(((Assumptions!$D$90*IF(Assumptions!E$206=2027,1+Assumptions!$F$193,1))/12),Assumptions!E$222)*(Assumptions!$C$56+Assumptions!$C$57)+MAX(0,MIN(((Assumptions!$D$90*IF(Assumptions!E$206=2027,1+Assumptions!$F$193,1))/12),8*Assumptions!E$222)-Assumptions!E$222)*(Assumptions!$C$58+Assumptions!$C$59)+IF(((Assumptions!$D$90*IF(Assumptions!E$206=2027,1+Assumptions!$F$193,1))/12)&gt;Assumptions!E$222,MIN(((Assumptions!$D$90*IF(Assumptions!E$206=2027,1+Assumptions!$F$193,1))/12),8*Assumptions!E$222)*Assumptions!$C$60+MIN(((Assumptions!$D$90*IF(Assumptions!E$206=2027,1+Assumptions!$F$193,1))/12),4*Assumptions!E$222)*Assumptions!$C$61,0))</f>
        <v>6778.70266666667</v>
      </c>
      <c r="F95" s="65" t="n">
        <f aca="false">F11*(MIN(((Assumptions!$D$90*IF(Assumptions!F$206=2027,1+Assumptions!$F$193,1))/12),Assumptions!F$222)*(Assumptions!$C$56+Assumptions!$C$57)+MAX(0,MIN(((Assumptions!$D$90*IF(Assumptions!F$206=2027,1+Assumptions!$F$193,1))/12),8*Assumptions!F$222)-Assumptions!F$222)*(Assumptions!$C$58+Assumptions!$C$59)+IF(((Assumptions!$D$90*IF(Assumptions!F$206=2027,1+Assumptions!$F$193,1))/12)&gt;Assumptions!F$222,MIN(((Assumptions!$D$90*IF(Assumptions!F$206=2027,1+Assumptions!$F$193,1))/12),8*Assumptions!F$222)*Assumptions!$C$60+MIN(((Assumptions!$D$90*IF(Assumptions!F$206=2027,1+Assumptions!$F$193,1))/12),4*Assumptions!F$222)*Assumptions!$C$61,0))</f>
        <v>6778.70266666667</v>
      </c>
      <c r="G95" s="65" t="n">
        <f aca="false">G11*(MIN(((Assumptions!$D$90*IF(Assumptions!G$206=2027,1+Assumptions!$F$193,1))/12),Assumptions!G$222)*(Assumptions!$C$56+Assumptions!$C$57)+MAX(0,MIN(((Assumptions!$D$90*IF(Assumptions!G$206=2027,1+Assumptions!$F$193,1))/12),8*Assumptions!G$222)-Assumptions!G$222)*(Assumptions!$C$58+Assumptions!$C$59)+IF(((Assumptions!$D$90*IF(Assumptions!G$206=2027,1+Assumptions!$F$193,1))/12)&gt;Assumptions!G$222,MIN(((Assumptions!$D$90*IF(Assumptions!G$206=2027,1+Assumptions!$F$193,1))/12),8*Assumptions!G$222)*Assumptions!$C$60+MIN(((Assumptions!$D$90*IF(Assumptions!G$206=2027,1+Assumptions!$F$193,1))/12),4*Assumptions!G$222)*Assumptions!$C$61,0))</f>
        <v>7300.14133333333</v>
      </c>
      <c r="H95" s="65" t="n">
        <f aca="false">H11*(MIN(((Assumptions!$D$90*IF(Assumptions!H$206=2027,1+Assumptions!$F$193,1))/12),Assumptions!H$222)*(Assumptions!$C$56+Assumptions!$C$57)+MAX(0,MIN(((Assumptions!$D$90*IF(Assumptions!H$206=2027,1+Assumptions!$F$193,1))/12),8*Assumptions!H$222)-Assumptions!H$222)*(Assumptions!$C$58+Assumptions!$C$59)+IF(((Assumptions!$D$90*IF(Assumptions!H$206=2027,1+Assumptions!$F$193,1))/12)&gt;Assumptions!H$222,MIN(((Assumptions!$D$90*IF(Assumptions!H$206=2027,1+Assumptions!$F$193,1))/12),8*Assumptions!H$222)*Assumptions!$C$60+MIN(((Assumptions!$D$90*IF(Assumptions!H$206=2027,1+Assumptions!$F$193,1))/12),4*Assumptions!H$222)*Assumptions!$C$61,0))</f>
        <v>7300.14133333333</v>
      </c>
      <c r="I95" s="65" t="n">
        <f aca="false">I11*(MIN(((Assumptions!$D$90*IF(Assumptions!I$206=2027,1+Assumptions!$F$193,1))/12),Assumptions!I$222)*(Assumptions!$C$56+Assumptions!$C$57)+MAX(0,MIN(((Assumptions!$D$90*IF(Assumptions!I$206=2027,1+Assumptions!$F$193,1))/12),8*Assumptions!I$222)-Assumptions!I$222)*(Assumptions!$C$58+Assumptions!$C$59)+IF(((Assumptions!$D$90*IF(Assumptions!I$206=2027,1+Assumptions!$F$193,1))/12)&gt;Assumptions!I$222,MIN(((Assumptions!$D$90*IF(Assumptions!I$206=2027,1+Assumptions!$F$193,1))/12),8*Assumptions!I$222)*Assumptions!$C$60+MIN(((Assumptions!$D$90*IF(Assumptions!I$206=2027,1+Assumptions!$F$193,1))/12),4*Assumptions!I$222)*Assumptions!$C$61,0))</f>
        <v>6778.70266666667</v>
      </c>
      <c r="J95" s="65" t="n">
        <f aca="false">J11*(MIN(((Assumptions!$D$90*IF(Assumptions!J$206=2027,1+Assumptions!$F$193,1))/12),Assumptions!J$222)*(Assumptions!$C$56+Assumptions!$C$57)+MAX(0,MIN(((Assumptions!$D$90*IF(Assumptions!J$206=2027,1+Assumptions!$F$193,1))/12),8*Assumptions!J$222)-Assumptions!J$222)*(Assumptions!$C$58+Assumptions!$C$59)+IF(((Assumptions!$D$90*IF(Assumptions!J$206=2027,1+Assumptions!$F$193,1))/12)&gt;Assumptions!J$222,MIN(((Assumptions!$D$90*IF(Assumptions!J$206=2027,1+Assumptions!$F$193,1))/12),8*Assumptions!J$222)*Assumptions!$C$60+MIN(((Assumptions!$D$90*IF(Assumptions!J$206=2027,1+Assumptions!$F$193,1))/12),4*Assumptions!J$222)*Assumptions!$C$61,0))</f>
        <v>7300.14133333333</v>
      </c>
      <c r="K95" s="65" t="n">
        <f aca="false">K11*(MIN(((Assumptions!$D$90*IF(Assumptions!K$206=2027,1+Assumptions!$F$193,1))/12),Assumptions!K$222)*(Assumptions!$C$56+Assumptions!$C$57)+MAX(0,MIN(((Assumptions!$D$90*IF(Assumptions!K$206=2027,1+Assumptions!$F$193,1))/12),8*Assumptions!K$222)-Assumptions!K$222)*(Assumptions!$C$58+Assumptions!$C$59)+IF(((Assumptions!$D$90*IF(Assumptions!K$206=2027,1+Assumptions!$F$193,1))/12)&gt;Assumptions!K$222,MIN(((Assumptions!$D$90*IF(Assumptions!K$206=2027,1+Assumptions!$F$193,1))/12),8*Assumptions!K$222)*Assumptions!$C$60+MIN(((Assumptions!$D$90*IF(Assumptions!K$206=2027,1+Assumptions!$F$193,1))/12),4*Assumptions!K$222)*Assumptions!$C$61,0))</f>
        <v>7300.14133333333</v>
      </c>
      <c r="L95" s="65" t="n">
        <f aca="false">L11*(MIN(((Assumptions!$D$90*IF(Assumptions!L$206=2027,1+Assumptions!$F$193,1))/12),Assumptions!L$222)*(Assumptions!$C$56+Assumptions!$C$57)+MAX(0,MIN(((Assumptions!$D$90*IF(Assumptions!L$206=2027,1+Assumptions!$F$193,1))/12),8*Assumptions!L$222)-Assumptions!L$222)*(Assumptions!$C$58+Assumptions!$C$59)+IF(((Assumptions!$D$90*IF(Assumptions!L$206=2027,1+Assumptions!$F$193,1))/12)&gt;Assumptions!L$222,MIN(((Assumptions!$D$90*IF(Assumptions!L$206=2027,1+Assumptions!$F$193,1))/12),8*Assumptions!L$222)*Assumptions!$C$60+MIN(((Assumptions!$D$90*IF(Assumptions!L$206=2027,1+Assumptions!$F$193,1))/12),4*Assumptions!L$222)*Assumptions!$C$61,0))</f>
        <v>7300.14133333333</v>
      </c>
      <c r="M95" s="65" t="n">
        <f aca="false">M11*(MIN(((Assumptions!$D$90*IF(Assumptions!M$206=2027,1+Assumptions!$F$193,1))/12),Assumptions!M$222)*(Assumptions!$C$56+Assumptions!$C$57)+MAX(0,MIN(((Assumptions!$D$90*IF(Assumptions!M$206=2027,1+Assumptions!$F$193,1))/12),8*Assumptions!M$222)-Assumptions!M$222)*(Assumptions!$C$58+Assumptions!$C$59)+IF(((Assumptions!$D$90*IF(Assumptions!M$206=2027,1+Assumptions!$F$193,1))/12)&gt;Assumptions!M$222,MIN(((Assumptions!$D$90*IF(Assumptions!M$206=2027,1+Assumptions!$F$193,1))/12),8*Assumptions!M$222)*Assumptions!$C$60+MIN(((Assumptions!$D$90*IF(Assumptions!M$206=2027,1+Assumptions!$F$193,1))/12),4*Assumptions!M$222)*Assumptions!$C$61,0))</f>
        <v>7239.30682222222</v>
      </c>
      <c r="N95" s="65" t="n">
        <f aca="false">N11*(MIN(((Assumptions!$D$90*IF(Assumptions!N$206=2027,1+Assumptions!$F$193,1))/12),Assumptions!N$222)*(Assumptions!$C$56+Assumptions!$C$57)+MAX(0,MIN(((Assumptions!$D$90*IF(Assumptions!N$206=2027,1+Assumptions!$F$193,1))/12),8*Assumptions!N$222)-Assumptions!N$222)*(Assumptions!$C$58+Assumptions!$C$59)+IF(((Assumptions!$D$90*IF(Assumptions!N$206=2027,1+Assumptions!$F$193,1))/12)&gt;Assumptions!N$222,MIN(((Assumptions!$D$90*IF(Assumptions!N$206=2027,1+Assumptions!$F$193,1))/12),8*Assumptions!N$222)*Assumptions!$C$60+MIN(((Assumptions!$D$90*IF(Assumptions!N$206=2027,1+Assumptions!$F$193,1))/12),4*Assumptions!N$222)*Assumptions!$C$61,0))</f>
        <v>7178.97926537037</v>
      </c>
      <c r="O95" s="65" t="n">
        <f aca="false">O11*(MIN(((Assumptions!$D$90*IF(Assumptions!O$206=2027,1+Assumptions!$F$193,1))/12),Assumptions!O$222)*(Assumptions!$C$56+Assumptions!$C$57)+MAX(0,MIN(((Assumptions!$D$90*IF(Assumptions!O$206=2027,1+Assumptions!$F$193,1))/12),8*Assumptions!O$222)-Assumptions!O$222)*(Assumptions!$C$58+Assumptions!$C$59)+IF(((Assumptions!$D$90*IF(Assumptions!O$206=2027,1+Assumptions!$F$193,1))/12)&gt;Assumptions!O$222,MIN(((Assumptions!$D$90*IF(Assumptions!O$206=2027,1+Assumptions!$F$193,1))/12),8*Assumptions!O$222)*Assumptions!$C$60+MIN(((Assumptions!$D$90*IF(Assumptions!O$206=2027,1+Assumptions!$F$193,1))/12),4*Assumptions!O$222)*Assumptions!$C$61,0))</f>
        <v>7179.98894927006</v>
      </c>
      <c r="P95" s="65" t="n">
        <f aca="false">P11*(MIN(((Assumptions!$D$90*IF(Assumptions!P$206=2027,1+Assumptions!$F$193,1))/12),Assumptions!P$222)*(Assumptions!$C$56+Assumptions!$C$57)+MAX(0,MIN(((Assumptions!$D$90*IF(Assumptions!P$206=2027,1+Assumptions!$F$193,1))/12),8*Assumptions!P$222)-Assumptions!P$222)*(Assumptions!$C$58+Assumptions!$C$59)+IF(((Assumptions!$D$90*IF(Assumptions!P$206=2027,1+Assumptions!$F$193,1))/12)&gt;Assumptions!P$222,MIN(((Assumptions!$D$90*IF(Assumptions!P$206=2027,1+Assumptions!$F$193,1))/12),8*Assumptions!P$222)*Assumptions!$C$60+MIN(((Assumptions!$D$90*IF(Assumptions!P$206=2027,1+Assumptions!$F$193,1))/12),4*Assumptions!P$222)*Assumptions!$C$61,0))</f>
        <v>7180.483264878</v>
      </c>
      <c r="Q95" s="65" t="n">
        <f aca="false">Q11*(MIN(((Assumptions!$D$90*IF(Assumptions!Q$206=2027,1+Assumptions!$F$193,1))/12),Assumptions!Q$222)*(Assumptions!$C$56+Assumptions!$C$57)+MAX(0,MIN(((Assumptions!$D$90*IF(Assumptions!Q$206=2027,1+Assumptions!$F$193,1))/12),8*Assumptions!Q$222)-Assumptions!Q$222)*(Assumptions!$C$58+Assumptions!$C$59)+IF(((Assumptions!$D$90*IF(Assumptions!Q$206=2027,1+Assumptions!$F$193,1))/12)&gt;Assumptions!Q$222,MIN(((Assumptions!$D$90*IF(Assumptions!Q$206=2027,1+Assumptions!$F$193,1))/12),8*Assumptions!Q$222)*Assumptions!$C$60+MIN(((Assumptions!$D$90*IF(Assumptions!Q$206=2027,1+Assumptions!$F$193,1))/12),4*Assumptions!Q$222)*Assumptions!$C$61,0))</f>
        <v>8524.249189229</v>
      </c>
      <c r="R95" s="65" t="n">
        <f aca="false">R11*(MIN(((Assumptions!$D$90*IF(Assumptions!R$206=2027,1+Assumptions!$F$193,1))/12),Assumptions!R$222)*(Assumptions!$C$56+Assumptions!$C$57)+MAX(0,MIN(((Assumptions!$D$90*IF(Assumptions!R$206=2027,1+Assumptions!$F$193,1))/12),8*Assumptions!R$222)-Assumptions!R$222)*(Assumptions!$C$58+Assumptions!$C$59)+IF(((Assumptions!$D$90*IF(Assumptions!R$206=2027,1+Assumptions!$F$193,1))/12)&gt;Assumptions!R$222,MIN(((Assumptions!$D$90*IF(Assumptions!R$206=2027,1+Assumptions!$F$193,1))/12),8*Assumptions!R$222)*Assumptions!$C$60+MIN(((Assumptions!$D$90*IF(Assumptions!R$206=2027,1+Assumptions!$F$193,1))/12),4*Assumptions!R$222)*Assumptions!$C$61,0))</f>
        <v>8515.23638302448</v>
      </c>
      <c r="S95" s="65" t="n">
        <f aca="false">S11*(MIN(((Assumptions!$D$90*IF(Assumptions!S$206=2027,1+Assumptions!$F$193,1))/12),Assumptions!S$222)*(Assumptions!$C$56+Assumptions!$C$57)+MAX(0,MIN(((Assumptions!$D$90*IF(Assumptions!S$206=2027,1+Assumptions!$F$193,1))/12),8*Assumptions!S$222)-Assumptions!S$222)*(Assumptions!$C$58+Assumptions!$C$59)+IF(((Assumptions!$D$90*IF(Assumptions!S$206=2027,1+Assumptions!$F$193,1))/12)&gt;Assumptions!S$222,MIN(((Assumptions!$D$90*IF(Assumptions!S$206=2027,1+Assumptions!$F$193,1))/12),8*Assumptions!S$222)*Assumptions!$C$60+MIN(((Assumptions!$D$90*IF(Assumptions!S$206=2027,1+Assumptions!$F$193,1))/12),4*Assumptions!S$222)*Assumptions!$C$61,0))</f>
        <v>8506.30295356456</v>
      </c>
      <c r="T95" s="65" t="n">
        <f aca="false">T11*(MIN(((Assumptions!$D$90*IF(Assumptions!T$206=2027,1+Assumptions!$F$193,1))/12),Assumptions!T$222)*(Assumptions!$C$56+Assumptions!$C$57)+MAX(0,MIN(((Assumptions!$D$90*IF(Assumptions!T$206=2027,1+Assumptions!$F$193,1))/12),8*Assumptions!T$222)-Assumptions!T$222)*(Assumptions!$C$58+Assumptions!$C$59)+IF(((Assumptions!$D$90*IF(Assumptions!T$206=2027,1+Assumptions!$F$193,1))/12)&gt;Assumptions!T$222,MIN(((Assumptions!$D$90*IF(Assumptions!T$206=2027,1+Assumptions!$F$193,1))/12),8*Assumptions!T$222)*Assumptions!$C$60+MIN(((Assumptions!$D$90*IF(Assumptions!T$206=2027,1+Assumptions!$F$193,1))/12),4*Assumptions!T$222)*Assumptions!$C$61,0))</f>
        <v>8506.45250552843</v>
      </c>
      <c r="U95" s="65" t="n">
        <f aca="false">U11*(MIN(((Assumptions!$D$90*IF(Assumptions!U$206=2027,1+Assumptions!$F$193,1))/12),Assumptions!U$222)*(Assumptions!$C$56+Assumptions!$C$57)+MAX(0,MIN(((Assumptions!$D$90*IF(Assumptions!U$206=2027,1+Assumptions!$F$193,1))/12),8*Assumptions!U$222)-Assumptions!U$222)*(Assumptions!$C$58+Assumptions!$C$59)+IF(((Assumptions!$D$90*IF(Assumptions!U$206=2027,1+Assumptions!$F$193,1))/12)&gt;Assumptions!U$222,MIN(((Assumptions!$D$90*IF(Assumptions!U$206=2027,1+Assumptions!$F$193,1))/12),8*Assumptions!U$222)*Assumptions!$C$60+MIN(((Assumptions!$D$90*IF(Assumptions!U$206=2027,1+Assumptions!$F$193,1))/12),4*Assumptions!U$222)*Assumptions!$C$61,0))</f>
        <v>8506.52570450756</v>
      </c>
      <c r="V95" s="65" t="n">
        <f aca="false">V11*(MIN(((Assumptions!$D$90*IF(Assumptions!V$206=2027,1+Assumptions!$F$193,1))/12),Assumptions!V$222)*(Assumptions!$C$56+Assumptions!$C$57)+MAX(0,MIN(((Assumptions!$D$90*IF(Assumptions!V$206=2027,1+Assumptions!$F$193,1))/12),8*Assumptions!V$222)-Assumptions!V$222)*(Assumptions!$C$58+Assumptions!$C$59)+IF(((Assumptions!$D$90*IF(Assumptions!V$206=2027,1+Assumptions!$F$193,1))/12)&gt;Assumptions!V$222,MIN(((Assumptions!$D$90*IF(Assumptions!V$206=2027,1+Assumptions!$F$193,1))/12),8*Assumptions!V$222)*Assumptions!$C$60+MIN(((Assumptions!$D$90*IF(Assumptions!V$206=2027,1+Assumptions!$F$193,1))/12),4*Assumptions!V$222)*Assumptions!$C$61,0))</f>
        <v>9047.04251491637</v>
      </c>
      <c r="W95" s="65" t="n">
        <f aca="false">W11*(MIN(((Assumptions!$D$90*IF(Assumptions!W$206=2027,1+Assumptions!$F$193,1))/12),Assumptions!W$222)*(Assumptions!$C$56+Assumptions!$C$57)+MAX(0,MIN(((Assumptions!$D$90*IF(Assumptions!W$206=2027,1+Assumptions!$F$193,1))/12),8*Assumptions!W$222)-Assumptions!W$222)*(Assumptions!$C$58+Assumptions!$C$59)+IF(((Assumptions!$D$90*IF(Assumptions!W$206=2027,1+Assumptions!$F$193,1))/12)&gt;Assumptions!W$222,MIN(((Assumptions!$D$90*IF(Assumptions!W$206=2027,1+Assumptions!$F$193,1))/12),8*Assumptions!W$222)*Assumptions!$C$60+MIN(((Assumptions!$D$90*IF(Assumptions!W$206=2027,1+Assumptions!$F$193,1))/12),4*Assumptions!W$222)*Assumptions!$C$61,0))</f>
        <v>9042.53759817147</v>
      </c>
      <c r="X95" s="65" t="n">
        <f aca="false">X11*(MIN(((Assumptions!$D$90*IF(Assumptions!X$206=2027,1+Assumptions!$F$193,1))/12),Assumptions!X$222)*(Assumptions!$C$56+Assumptions!$C$57)+MAX(0,MIN(((Assumptions!$D$90*IF(Assumptions!X$206=2027,1+Assumptions!$F$193,1))/12),8*Assumptions!X$222)-Assumptions!X$222)*(Assumptions!$C$58+Assumptions!$C$59)+IF(((Assumptions!$D$90*IF(Assumptions!X$206=2027,1+Assumptions!$F$193,1))/12)&gt;Assumptions!X$222,MIN(((Assumptions!$D$90*IF(Assumptions!X$206=2027,1+Assumptions!$F$193,1))/12),8*Assumptions!X$222)*Assumptions!$C$60+MIN(((Assumptions!$D$90*IF(Assumptions!X$206=2027,1+Assumptions!$F$193,1))/12),4*Assumptions!X$222)*Assumptions!$C$61,0))</f>
        <v>9038.07083239094</v>
      </c>
      <c r="Y95" s="65" t="n">
        <f aca="false">Y11*(MIN(((Assumptions!$D$90*IF(Assumptions!Y$206=2027,1+Assumptions!$F$193,1))/12),Assumptions!Y$222)*(Assumptions!$C$56+Assumptions!$C$57)+MAX(0,MIN(((Assumptions!$D$90*IF(Assumptions!Y$206=2027,1+Assumptions!$F$193,1))/12),8*Assumptions!Y$222)-Assumptions!Y$222)*(Assumptions!$C$58+Assumptions!$C$59)+IF(((Assumptions!$D$90*IF(Assumptions!Y$206=2027,1+Assumptions!$F$193,1))/12)&gt;Assumptions!Y$222,MIN(((Assumptions!$D$90*IF(Assumptions!Y$206=2027,1+Assumptions!$F$193,1))/12),8*Assumptions!Y$222)*Assumptions!$C$60+MIN(((Assumptions!$D$90*IF(Assumptions!Y$206=2027,1+Assumptions!$F$193,1))/12),4*Assumptions!Y$222)*Assumptions!$C$61,0))</f>
        <v>9038.14559641198</v>
      </c>
      <c r="Z95" s="65" t="n">
        <f aca="false">Z11*(MIN(((Assumptions!$D$90*IF(Assumptions!Z$206=2027,1+Assumptions!$F$193,1))/12),Assumptions!Z$222)*(Assumptions!$C$56+Assumptions!$C$57)+MAX(0,MIN(((Assumptions!$D$90*IF(Assumptions!Z$206=2027,1+Assumptions!$F$193,1))/12),8*Assumptions!Z$222)-Assumptions!Z$222)*(Assumptions!$C$58+Assumptions!$C$59)+IF(((Assumptions!$D$90*IF(Assumptions!Z$206=2027,1+Assumptions!$F$193,1))/12)&gt;Assumptions!Z$222,MIN(((Assumptions!$D$90*IF(Assumptions!Z$206=2027,1+Assumptions!$F$193,1))/12),8*Assumptions!Z$222)*Assumptions!$C$60+MIN(((Assumptions!$D$90*IF(Assumptions!Z$206=2027,1+Assumptions!$F$193,1))/12),4*Assumptions!Z$222)*Assumptions!$C$61,0))</f>
        <v>9038.18219642664</v>
      </c>
      <c r="AA95" s="65" t="n">
        <f aca="false">AA11*(MIN(((Assumptions!$D$90*IF(Assumptions!AA$206=2027,1+Assumptions!$F$193,1))/12),Assumptions!AA$222)*(Assumptions!$C$56+Assumptions!$C$57)+MAX(0,MIN(((Assumptions!$D$90*IF(Assumptions!AA$206=2027,1+Assumptions!$F$193,1))/12),8*Assumptions!AA$222)-Assumptions!AA$222)*(Assumptions!$C$58+Assumptions!$C$59)+IF(((Assumptions!$D$90*IF(Assumptions!AA$206=2027,1+Assumptions!$F$193,1))/12)&gt;Assumptions!AA$222,MIN(((Assumptions!$D$90*IF(Assumptions!AA$206=2027,1+Assumptions!$F$193,1))/12),8*Assumptions!AA$222)*Assumptions!$C$60+MIN(((Assumptions!$D$90*IF(Assumptions!AA$206=2027,1+Assumptions!$F$193,1))/12),4*Assumptions!AA$222)*Assumptions!$C$61,0))</f>
        <v>9038.18126839301</v>
      </c>
      <c r="AB95" s="65" t="n">
        <f aca="false">AB11*(MIN(((Assumptions!$D$90*IF(Assumptions!AB$206=2027,1+Assumptions!$F$193,1))/12),Assumptions!AB$222)*(Assumptions!$C$56+Assumptions!$C$57)+MAX(0,MIN(((Assumptions!$D$90*IF(Assumptions!AB$206=2027,1+Assumptions!$F$193,1))/12),8*Assumptions!AB$222)-Assumptions!AB$222)*(Assumptions!$C$58+Assumptions!$C$59)+IF(((Assumptions!$D$90*IF(Assumptions!AB$206=2027,1+Assumptions!$F$193,1))/12)&gt;Assumptions!AB$222,MIN(((Assumptions!$D$90*IF(Assumptions!AB$206=2027,1+Assumptions!$F$193,1))/12),8*Assumptions!AB$222)*Assumptions!$C$60+MIN(((Assumptions!$D$90*IF(Assumptions!AB$206=2027,1+Assumptions!$F$193,1))/12),4*Assumptions!AB$222)*Assumptions!$C$61,0))</f>
        <v>9038.1809711265</v>
      </c>
    </row>
    <row r="96" customFormat="false" ht="15" hidden="false" customHeight="false" outlineLevel="0" collapsed="false">
      <c r="A96" s="28" t="s">
        <v>1182</v>
      </c>
      <c r="B96" s="62" t="s">
        <v>1179</v>
      </c>
      <c r="C96" s="64" t="n">
        <f aca="false">SUM(E96:P96)</f>
        <v>43010.0940052041</v>
      </c>
      <c r="D96" s="64" t="n">
        <f aca="false">SUM(Q96:AB96)</f>
        <v>43906.6877610244</v>
      </c>
      <c r="E96" s="65" t="n">
        <f aca="false">E12*(MIN(((Assumptions!$D$91*IF(Assumptions!E$206=2027,1+Assumptions!$F$193,1))/12),Assumptions!E$222)*(Assumptions!$C$56+Assumptions!$C$57)+MAX(0,MIN(((Assumptions!$D$91*IF(Assumptions!E$206=2027,1+Assumptions!$F$193,1))/12),8*Assumptions!E$222)-Assumptions!E$222)*(Assumptions!$C$58+Assumptions!$C$59)+IF(((Assumptions!$D$91*IF(Assumptions!E$206=2027,1+Assumptions!$F$193,1))/12)&gt;Assumptions!E$222,MIN(((Assumptions!$D$91*IF(Assumptions!E$206=2027,1+Assumptions!$F$193,1))/12),8*Assumptions!E$222)*Assumptions!$C$60+MIN(((Assumptions!$D$91*IF(Assumptions!E$206=2027,1+Assumptions!$F$193,1))/12),4*Assumptions!E$222)*Assumptions!$C$61,0))</f>
        <v>3601.516</v>
      </c>
      <c r="F96" s="65" t="n">
        <f aca="false">F12*(MIN(((Assumptions!$D$91*IF(Assumptions!F$206=2027,1+Assumptions!$F$193,1))/12),Assumptions!F$222)*(Assumptions!$C$56+Assumptions!$C$57)+MAX(0,MIN(((Assumptions!$D$91*IF(Assumptions!F$206=2027,1+Assumptions!$F$193,1))/12),8*Assumptions!F$222)-Assumptions!F$222)*(Assumptions!$C$58+Assumptions!$C$59)+IF(((Assumptions!$D$91*IF(Assumptions!F$206=2027,1+Assumptions!$F$193,1))/12)&gt;Assumptions!F$222,MIN(((Assumptions!$D$91*IF(Assumptions!F$206=2027,1+Assumptions!$F$193,1))/12),8*Assumptions!F$222)*Assumptions!$C$60+MIN(((Assumptions!$D$91*IF(Assumptions!F$206=2027,1+Assumptions!$F$193,1))/12),4*Assumptions!F$222)*Assumptions!$C$61,0))</f>
        <v>3601.516</v>
      </c>
      <c r="G96" s="65" t="n">
        <f aca="false">G12*(MIN(((Assumptions!$D$91*IF(Assumptions!G$206=2027,1+Assumptions!$F$193,1))/12),Assumptions!G$222)*(Assumptions!$C$56+Assumptions!$C$57)+MAX(0,MIN(((Assumptions!$D$91*IF(Assumptions!G$206=2027,1+Assumptions!$F$193,1))/12),8*Assumptions!G$222)-Assumptions!G$222)*(Assumptions!$C$58+Assumptions!$C$59)+IF(((Assumptions!$D$91*IF(Assumptions!G$206=2027,1+Assumptions!$F$193,1))/12)&gt;Assumptions!G$222,MIN(((Assumptions!$D$91*IF(Assumptions!G$206=2027,1+Assumptions!$F$193,1))/12),8*Assumptions!G$222)*Assumptions!$C$60+MIN(((Assumptions!$D$91*IF(Assumptions!G$206=2027,1+Assumptions!$F$193,1))/12),4*Assumptions!G$222)*Assumptions!$C$61,0))</f>
        <v>3601.516</v>
      </c>
      <c r="H96" s="65" t="n">
        <f aca="false">H12*(MIN(((Assumptions!$D$91*IF(Assumptions!H$206=2027,1+Assumptions!$F$193,1))/12),Assumptions!H$222)*(Assumptions!$C$56+Assumptions!$C$57)+MAX(0,MIN(((Assumptions!$D$91*IF(Assumptions!H$206=2027,1+Assumptions!$F$193,1))/12),8*Assumptions!H$222)-Assumptions!H$222)*(Assumptions!$C$58+Assumptions!$C$59)+IF(((Assumptions!$D$91*IF(Assumptions!H$206=2027,1+Assumptions!$F$193,1))/12)&gt;Assumptions!H$222,MIN(((Assumptions!$D$91*IF(Assumptions!H$206=2027,1+Assumptions!$F$193,1))/12),8*Assumptions!H$222)*Assumptions!$C$60+MIN(((Assumptions!$D$91*IF(Assumptions!H$206=2027,1+Assumptions!$F$193,1))/12),4*Assumptions!H$222)*Assumptions!$C$61,0))</f>
        <v>3601.516</v>
      </c>
      <c r="I96" s="65" t="n">
        <f aca="false">I12*(MIN(((Assumptions!$D$91*IF(Assumptions!I$206=2027,1+Assumptions!$F$193,1))/12),Assumptions!I$222)*(Assumptions!$C$56+Assumptions!$C$57)+MAX(0,MIN(((Assumptions!$D$91*IF(Assumptions!I$206=2027,1+Assumptions!$F$193,1))/12),8*Assumptions!I$222)-Assumptions!I$222)*(Assumptions!$C$58+Assumptions!$C$59)+IF(((Assumptions!$D$91*IF(Assumptions!I$206=2027,1+Assumptions!$F$193,1))/12)&gt;Assumptions!I$222,MIN(((Assumptions!$D$91*IF(Assumptions!I$206=2027,1+Assumptions!$F$193,1))/12),8*Assumptions!I$222)*Assumptions!$C$60+MIN(((Assumptions!$D$91*IF(Assumptions!I$206=2027,1+Assumptions!$F$193,1))/12),4*Assumptions!I$222)*Assumptions!$C$61,0))</f>
        <v>3601.516</v>
      </c>
      <c r="J96" s="65" t="n">
        <f aca="false">J12*(MIN(((Assumptions!$D$91*IF(Assumptions!J$206=2027,1+Assumptions!$F$193,1))/12),Assumptions!J$222)*(Assumptions!$C$56+Assumptions!$C$57)+MAX(0,MIN(((Assumptions!$D$91*IF(Assumptions!J$206=2027,1+Assumptions!$F$193,1))/12),8*Assumptions!J$222)-Assumptions!J$222)*(Assumptions!$C$58+Assumptions!$C$59)+IF(((Assumptions!$D$91*IF(Assumptions!J$206=2027,1+Assumptions!$F$193,1))/12)&gt;Assumptions!J$222,MIN(((Assumptions!$D$91*IF(Assumptions!J$206=2027,1+Assumptions!$F$193,1))/12),8*Assumptions!J$222)*Assumptions!$C$60+MIN(((Assumptions!$D$91*IF(Assumptions!J$206=2027,1+Assumptions!$F$193,1))/12),4*Assumptions!J$222)*Assumptions!$C$61,0))</f>
        <v>3601.516</v>
      </c>
      <c r="K96" s="65" t="n">
        <f aca="false">K12*(MIN(((Assumptions!$D$91*IF(Assumptions!K$206=2027,1+Assumptions!$F$193,1))/12),Assumptions!K$222)*(Assumptions!$C$56+Assumptions!$C$57)+MAX(0,MIN(((Assumptions!$D$91*IF(Assumptions!K$206=2027,1+Assumptions!$F$193,1))/12),8*Assumptions!K$222)-Assumptions!K$222)*(Assumptions!$C$58+Assumptions!$C$59)+IF(((Assumptions!$D$91*IF(Assumptions!K$206=2027,1+Assumptions!$F$193,1))/12)&gt;Assumptions!K$222,MIN(((Assumptions!$D$91*IF(Assumptions!K$206=2027,1+Assumptions!$F$193,1))/12),8*Assumptions!K$222)*Assumptions!$C$60+MIN(((Assumptions!$D$91*IF(Assumptions!K$206=2027,1+Assumptions!$F$193,1))/12),4*Assumptions!K$222)*Assumptions!$C$61,0))</f>
        <v>3601.516</v>
      </c>
      <c r="L96" s="65" t="n">
        <f aca="false">L12*(MIN(((Assumptions!$D$91*IF(Assumptions!L$206=2027,1+Assumptions!$F$193,1))/12),Assumptions!L$222)*(Assumptions!$C$56+Assumptions!$C$57)+MAX(0,MIN(((Assumptions!$D$91*IF(Assumptions!L$206=2027,1+Assumptions!$F$193,1))/12),8*Assumptions!L$222)-Assumptions!L$222)*(Assumptions!$C$58+Assumptions!$C$59)+IF(((Assumptions!$D$91*IF(Assumptions!L$206=2027,1+Assumptions!$F$193,1))/12)&gt;Assumptions!L$222,MIN(((Assumptions!$D$91*IF(Assumptions!L$206=2027,1+Assumptions!$F$193,1))/12),8*Assumptions!L$222)*Assumptions!$C$60+MIN(((Assumptions!$D$91*IF(Assumptions!L$206=2027,1+Assumptions!$F$193,1))/12),4*Assumptions!L$222)*Assumptions!$C$61,0))</f>
        <v>3601.516</v>
      </c>
      <c r="M96" s="65" t="n">
        <f aca="false">M12*(MIN(((Assumptions!$D$91*IF(Assumptions!M$206=2027,1+Assumptions!$F$193,1))/12),Assumptions!M$222)*(Assumptions!$C$56+Assumptions!$C$57)+MAX(0,MIN(((Assumptions!$D$91*IF(Assumptions!M$206=2027,1+Assumptions!$F$193,1))/12),8*Assumptions!M$222)-Assumptions!M$222)*(Assumptions!$C$58+Assumptions!$C$59)+IF(((Assumptions!$D$91*IF(Assumptions!M$206=2027,1+Assumptions!$F$193,1))/12)&gt;Assumptions!M$222,MIN(((Assumptions!$D$91*IF(Assumptions!M$206=2027,1+Assumptions!$F$193,1))/12),8*Assumptions!M$222)*Assumptions!$C$60+MIN(((Assumptions!$D$91*IF(Assumptions!M$206=2027,1+Assumptions!$F$193,1))/12),4*Assumptions!M$222)*Assumptions!$C$61,0))</f>
        <v>3571.50336666667</v>
      </c>
      <c r="N96" s="65" t="n">
        <f aca="false">N12*(MIN(((Assumptions!$D$91*IF(Assumptions!N$206=2027,1+Assumptions!$F$193,1))/12),Assumptions!N$222)*(Assumptions!$C$56+Assumptions!$C$57)+MAX(0,MIN(((Assumptions!$D$91*IF(Assumptions!N$206=2027,1+Assumptions!$F$193,1))/12),8*Assumptions!N$222)-Assumptions!N$222)*(Assumptions!$C$58+Assumptions!$C$59)+IF(((Assumptions!$D$91*IF(Assumptions!N$206=2027,1+Assumptions!$F$193,1))/12)&gt;Assumptions!N$222,MIN(((Assumptions!$D$91*IF(Assumptions!N$206=2027,1+Assumptions!$F$193,1))/12),8*Assumptions!N$222)*Assumptions!$C$60+MIN(((Assumptions!$D$91*IF(Assumptions!N$206=2027,1+Assumptions!$F$193,1))/12),4*Assumptions!N$222)*Assumptions!$C$61,0))</f>
        <v>3541.74083861111</v>
      </c>
      <c r="O96" s="65" t="n">
        <f aca="false">O12*(MIN(((Assumptions!$D$91*IF(Assumptions!O$206=2027,1+Assumptions!$F$193,1))/12),Assumptions!O$222)*(Assumptions!$C$56+Assumptions!$C$57)+MAX(0,MIN(((Assumptions!$D$91*IF(Assumptions!O$206=2027,1+Assumptions!$F$193,1))/12),8*Assumptions!O$222)-Assumptions!O$222)*(Assumptions!$C$58+Assumptions!$C$59)+IF(((Assumptions!$D$91*IF(Assumptions!O$206=2027,1+Assumptions!$F$193,1))/12)&gt;Assumptions!O$222,MIN(((Assumptions!$D$91*IF(Assumptions!O$206=2027,1+Assumptions!$F$193,1))/12),8*Assumptions!O$222)*Assumptions!$C$60+MIN(((Assumptions!$D$91*IF(Assumptions!O$206=2027,1+Assumptions!$F$193,1))/12),4*Assumptions!O$222)*Assumptions!$C$61,0))</f>
        <v>3542.23896495602</v>
      </c>
      <c r="P96" s="65" t="n">
        <f aca="false">P12*(MIN(((Assumptions!$D$91*IF(Assumptions!P$206=2027,1+Assumptions!$F$193,1))/12),Assumptions!P$222)*(Assumptions!$C$56+Assumptions!$C$57)+MAX(0,MIN(((Assumptions!$D$91*IF(Assumptions!P$206=2027,1+Assumptions!$F$193,1))/12),8*Assumptions!P$222)-Assumptions!P$222)*(Assumptions!$C$58+Assumptions!$C$59)+IF(((Assumptions!$D$91*IF(Assumptions!P$206=2027,1+Assumptions!$F$193,1))/12)&gt;Assumptions!P$222,MIN(((Assumptions!$D$91*IF(Assumptions!P$206=2027,1+Assumptions!$F$193,1))/12),8*Assumptions!P$222)*Assumptions!$C$60+MIN(((Assumptions!$D$91*IF(Assumptions!P$206=2027,1+Assumptions!$F$193,1))/12),4*Assumptions!P$222)*Assumptions!$C$61,0))</f>
        <v>3542.48283497027</v>
      </c>
      <c r="Q96" s="65" t="n">
        <f aca="false">Q12*(MIN(((Assumptions!$D$91*IF(Assumptions!Q$206=2027,1+Assumptions!$F$193,1))/12),Assumptions!Q$222)*(Assumptions!$C$56+Assumptions!$C$57)+MAX(0,MIN(((Assumptions!$D$91*IF(Assumptions!Q$206=2027,1+Assumptions!$F$193,1))/12),8*Assumptions!Q$222)-Assumptions!Q$222)*(Assumptions!$C$58+Assumptions!$C$59)+IF(((Assumptions!$D$91*IF(Assumptions!Q$206=2027,1+Assumptions!$F$193,1))/12)&gt;Assumptions!Q$222,MIN(((Assumptions!$D$91*IF(Assumptions!Q$206=2027,1+Assumptions!$F$193,1))/12),8*Assumptions!Q$222)*Assumptions!$C$60+MIN(((Assumptions!$D$91*IF(Assumptions!Q$206=2027,1+Assumptions!$F$193,1))/12),4*Assumptions!Q$222)*Assumptions!$C$61,0))</f>
        <v>3658.89245173168</v>
      </c>
      <c r="R96" s="65" t="n">
        <f aca="false">R12*(MIN(((Assumptions!$D$91*IF(Assumptions!R$206=2027,1+Assumptions!$F$193,1))/12),Assumptions!R$222)*(Assumptions!$C$56+Assumptions!$C$57)+MAX(0,MIN(((Assumptions!$D$91*IF(Assumptions!R$206=2027,1+Assumptions!$F$193,1))/12),8*Assumptions!R$222)-Assumptions!R$222)*(Assumptions!$C$58+Assumptions!$C$59)+IF(((Assumptions!$D$91*IF(Assumptions!R$206=2027,1+Assumptions!$F$193,1))/12)&gt;Assumptions!R$222,MIN(((Assumptions!$D$91*IF(Assumptions!R$206=2027,1+Assumptions!$F$193,1))/12),8*Assumptions!R$222)*Assumptions!$C$60+MIN(((Assumptions!$D$91*IF(Assumptions!R$206=2027,1+Assumptions!$F$193,1))/12),4*Assumptions!R$222)*Assumptions!$C$61,0))</f>
        <v>3658.89040591694</v>
      </c>
      <c r="S96" s="65" t="n">
        <f aca="false">S12*(MIN(((Assumptions!$D$91*IF(Assumptions!S$206=2027,1+Assumptions!$F$193,1))/12),Assumptions!S$222)*(Assumptions!$C$56+Assumptions!$C$57)+MAX(0,MIN(((Assumptions!$D$91*IF(Assumptions!S$206=2027,1+Assumptions!$F$193,1))/12),8*Assumptions!S$222)-Assumptions!S$222)*(Assumptions!$C$58+Assumptions!$C$59)+IF(((Assumptions!$D$91*IF(Assumptions!S$206=2027,1+Assumptions!$F$193,1))/12)&gt;Assumptions!S$222,MIN(((Assumptions!$D$91*IF(Assumptions!S$206=2027,1+Assumptions!$F$193,1))/12),8*Assumptions!S$222)*Assumptions!$C$60+MIN(((Assumptions!$D$91*IF(Assumptions!S$206=2027,1+Assumptions!$F$193,1))/12),4*Assumptions!S$222)*Assumptions!$C$61,0))</f>
        <v>3658.89047618626</v>
      </c>
      <c r="T96" s="65" t="n">
        <f aca="false">T12*(MIN(((Assumptions!$D$91*IF(Assumptions!T$206=2027,1+Assumptions!$F$193,1))/12),Assumptions!T$222)*(Assumptions!$C$56+Assumptions!$C$57)+MAX(0,MIN(((Assumptions!$D$91*IF(Assumptions!T$206=2027,1+Assumptions!$F$193,1))/12),8*Assumptions!T$222)-Assumptions!T$222)*(Assumptions!$C$58+Assumptions!$C$59)+IF(((Assumptions!$D$91*IF(Assumptions!T$206=2027,1+Assumptions!$F$193,1))/12)&gt;Assumptions!T$222,MIN(((Assumptions!$D$91*IF(Assumptions!T$206=2027,1+Assumptions!$F$193,1))/12),8*Assumptions!T$222)*Assumptions!$C$60+MIN(((Assumptions!$D$91*IF(Assumptions!T$206=2027,1+Assumptions!$F$193,1))/12),4*Assumptions!T$222)*Assumptions!$C$61,0))</f>
        <v>3658.89049264914</v>
      </c>
      <c r="U96" s="65" t="n">
        <f aca="false">U12*(MIN(((Assumptions!$D$91*IF(Assumptions!U$206=2027,1+Assumptions!$F$193,1))/12),Assumptions!U$222)*(Assumptions!$C$56+Assumptions!$C$57)+MAX(0,MIN(((Assumptions!$D$91*IF(Assumptions!U$206=2027,1+Assumptions!$F$193,1))/12),8*Assumptions!U$222)-Assumptions!U$222)*(Assumptions!$C$58+Assumptions!$C$59)+IF(((Assumptions!$D$91*IF(Assumptions!U$206=2027,1+Assumptions!$F$193,1))/12)&gt;Assumptions!U$222,MIN(((Assumptions!$D$91*IF(Assumptions!U$206=2027,1+Assumptions!$F$193,1))/12),8*Assumptions!U$222)*Assumptions!$C$60+MIN(((Assumptions!$D$91*IF(Assumptions!U$206=2027,1+Assumptions!$F$193,1))/12),4*Assumptions!U$222)*Assumptions!$C$61,0))</f>
        <v>3658.89049192637</v>
      </c>
      <c r="V96" s="65" t="n">
        <f aca="false">V12*(MIN(((Assumptions!$D$91*IF(Assumptions!V$206=2027,1+Assumptions!$F$193,1))/12),Assumptions!V$222)*(Assumptions!$C$56+Assumptions!$C$57)+MAX(0,MIN(((Assumptions!$D$91*IF(Assumptions!V$206=2027,1+Assumptions!$F$193,1))/12),8*Assumptions!V$222)-Assumptions!V$222)*(Assumptions!$C$58+Assumptions!$C$59)+IF(((Assumptions!$D$91*IF(Assumptions!V$206=2027,1+Assumptions!$F$193,1))/12)&gt;Assumptions!V$222,MIN(((Assumptions!$D$91*IF(Assumptions!V$206=2027,1+Assumptions!$F$193,1))/12),8*Assumptions!V$222)*Assumptions!$C$60+MIN(((Assumptions!$D$91*IF(Assumptions!V$206=2027,1+Assumptions!$F$193,1))/12),4*Assumptions!V$222)*Assumptions!$C$61,0))</f>
        <v>3658.8904917952</v>
      </c>
      <c r="W96" s="65" t="n">
        <f aca="false">W12*(MIN(((Assumptions!$D$91*IF(Assumptions!W$206=2027,1+Assumptions!$F$193,1))/12),Assumptions!W$222)*(Assumptions!$C$56+Assumptions!$C$57)+MAX(0,MIN(((Assumptions!$D$91*IF(Assumptions!W$206=2027,1+Assumptions!$F$193,1))/12),8*Assumptions!W$222)-Assumptions!W$222)*(Assumptions!$C$58+Assumptions!$C$59)+IF(((Assumptions!$D$91*IF(Assumptions!W$206=2027,1+Assumptions!$F$193,1))/12)&gt;Assumptions!W$222,MIN(((Assumptions!$D$91*IF(Assumptions!W$206=2027,1+Assumptions!$F$193,1))/12),8*Assumptions!W$222)*Assumptions!$C$60+MIN(((Assumptions!$D$91*IF(Assumptions!W$206=2027,1+Assumptions!$F$193,1))/12),4*Assumptions!W$222)*Assumptions!$C$61,0))</f>
        <v>3658.89049180232</v>
      </c>
      <c r="X96" s="65" t="n">
        <f aca="false">X12*(MIN(((Assumptions!$D$91*IF(Assumptions!X$206=2027,1+Assumptions!$F$193,1))/12),Assumptions!X$222)*(Assumptions!$C$56+Assumptions!$C$57)+MAX(0,MIN(((Assumptions!$D$91*IF(Assumptions!X$206=2027,1+Assumptions!$F$193,1))/12),8*Assumptions!X$222)-Assumptions!X$222)*(Assumptions!$C$58+Assumptions!$C$59)+IF(((Assumptions!$D$91*IF(Assumptions!X$206=2027,1+Assumptions!$F$193,1))/12)&gt;Assumptions!X$222,MIN(((Assumptions!$D$91*IF(Assumptions!X$206=2027,1+Assumptions!$F$193,1))/12),8*Assumptions!X$222)*Assumptions!$C$60+MIN(((Assumptions!$D$91*IF(Assumptions!X$206=2027,1+Assumptions!$F$193,1))/12),4*Assumptions!X$222)*Assumptions!$C$61,0))</f>
        <v>3658.89049180335</v>
      </c>
      <c r="Y96" s="65" t="n">
        <f aca="false">Y12*(MIN(((Assumptions!$D$91*IF(Assumptions!Y$206=2027,1+Assumptions!$F$193,1))/12),Assumptions!Y$222)*(Assumptions!$C$56+Assumptions!$C$57)+MAX(0,MIN(((Assumptions!$D$91*IF(Assumptions!Y$206=2027,1+Assumptions!$F$193,1))/12),8*Assumptions!Y$222)-Assumptions!Y$222)*(Assumptions!$C$58+Assumptions!$C$59)+IF(((Assumptions!$D$91*IF(Assumptions!Y$206=2027,1+Assumptions!$F$193,1))/12)&gt;Assumptions!Y$222,MIN(((Assumptions!$D$91*IF(Assumptions!Y$206=2027,1+Assumptions!$F$193,1))/12),8*Assumptions!Y$222)*Assumptions!$C$60+MIN(((Assumptions!$D$91*IF(Assumptions!Y$206=2027,1+Assumptions!$F$193,1))/12),4*Assumptions!Y$222)*Assumptions!$C$61,0))</f>
        <v>3658.89049180329</v>
      </c>
      <c r="Z96" s="65" t="n">
        <f aca="false">Z12*(MIN(((Assumptions!$D$91*IF(Assumptions!Z$206=2027,1+Assumptions!$F$193,1))/12),Assumptions!Z$222)*(Assumptions!$C$56+Assumptions!$C$57)+MAX(0,MIN(((Assumptions!$D$91*IF(Assumptions!Z$206=2027,1+Assumptions!$F$193,1))/12),8*Assumptions!Z$222)-Assumptions!Z$222)*(Assumptions!$C$58+Assumptions!$C$59)+IF(((Assumptions!$D$91*IF(Assumptions!Z$206=2027,1+Assumptions!$F$193,1))/12)&gt;Assumptions!Z$222,MIN(((Assumptions!$D$91*IF(Assumptions!Z$206=2027,1+Assumptions!$F$193,1))/12),8*Assumptions!Z$222)*Assumptions!$C$60+MIN(((Assumptions!$D$91*IF(Assumptions!Z$206=2027,1+Assumptions!$F$193,1))/12),4*Assumptions!Z$222)*Assumptions!$C$61,0))</f>
        <v>3658.89049180328</v>
      </c>
      <c r="AA96" s="65" t="n">
        <f aca="false">AA12*(MIN(((Assumptions!$D$91*IF(Assumptions!AA$206=2027,1+Assumptions!$F$193,1))/12),Assumptions!AA$222)*(Assumptions!$C$56+Assumptions!$C$57)+MAX(0,MIN(((Assumptions!$D$91*IF(Assumptions!AA$206=2027,1+Assumptions!$F$193,1))/12),8*Assumptions!AA$222)-Assumptions!AA$222)*(Assumptions!$C$58+Assumptions!$C$59)+IF(((Assumptions!$D$91*IF(Assumptions!AA$206=2027,1+Assumptions!$F$193,1))/12)&gt;Assumptions!AA$222,MIN(((Assumptions!$D$91*IF(Assumptions!AA$206=2027,1+Assumptions!$F$193,1))/12),8*Assumptions!AA$222)*Assumptions!$C$60+MIN(((Assumptions!$D$91*IF(Assumptions!AA$206=2027,1+Assumptions!$F$193,1))/12),4*Assumptions!AA$222)*Assumptions!$C$61,0))</f>
        <v>3658.89049180328</v>
      </c>
      <c r="AB96" s="65" t="n">
        <f aca="false">AB12*(MIN(((Assumptions!$D$91*IF(Assumptions!AB$206=2027,1+Assumptions!$F$193,1))/12),Assumptions!AB$222)*(Assumptions!$C$56+Assumptions!$C$57)+MAX(0,MIN(((Assumptions!$D$91*IF(Assumptions!AB$206=2027,1+Assumptions!$F$193,1))/12),8*Assumptions!AB$222)-Assumptions!AB$222)*(Assumptions!$C$58+Assumptions!$C$59)+IF(((Assumptions!$D$91*IF(Assumptions!AB$206=2027,1+Assumptions!$F$193,1))/12)&gt;Assumptions!AB$222,MIN(((Assumptions!$D$91*IF(Assumptions!AB$206=2027,1+Assumptions!$F$193,1))/12),8*Assumptions!AB$222)*Assumptions!$C$60+MIN(((Assumptions!$D$91*IF(Assumptions!AB$206=2027,1+Assumptions!$F$193,1))/12),4*Assumptions!AB$222)*Assumptions!$C$61,0))</f>
        <v>3658.89049180328</v>
      </c>
    </row>
    <row r="97" customFormat="false" ht="15" hidden="false" customHeight="false" outlineLevel="0" collapsed="false">
      <c r="A97" s="28" t="s">
        <v>1183</v>
      </c>
      <c r="B97" s="62" t="s">
        <v>1179</v>
      </c>
      <c r="C97" s="64" t="n">
        <f aca="false">SUM(E97:P97)</f>
        <v>39132.1687743441</v>
      </c>
      <c r="D97" s="64" t="n">
        <f aca="false">SUM(Q97:AB97)</f>
        <v>40080.5934350604</v>
      </c>
      <c r="E97" s="65" t="n">
        <f aca="false">E13*(MIN(((Assumptions!$D$92*IF(Assumptions!E$206=2027,1+Assumptions!$F$193,1))/12),Assumptions!E$222)*(Assumptions!$C$56+Assumptions!$C$57)+MAX(0,MIN(((Assumptions!$D$92*IF(Assumptions!E$206=2027,1+Assumptions!$F$193,1))/12),8*Assumptions!E$222)-Assumptions!E$222)*(Assumptions!$C$58+Assumptions!$C$59)+IF(((Assumptions!$D$92*IF(Assumptions!E$206=2027,1+Assumptions!$F$193,1))/12)&gt;Assumptions!E$222,MIN(((Assumptions!$D$92*IF(Assumptions!E$206=2027,1+Assumptions!$F$193,1))/12),8*Assumptions!E$222)*Assumptions!$C$60+MIN(((Assumptions!$D$92*IF(Assumptions!E$206=2027,1+Assumptions!$F$193,1))/12),4*Assumptions!E$222)*Assumptions!$C$61,0))</f>
        <v>3276.792</v>
      </c>
      <c r="F97" s="65" t="n">
        <f aca="false">F13*(MIN(((Assumptions!$D$92*IF(Assumptions!F$206=2027,1+Assumptions!$F$193,1))/12),Assumptions!F$222)*(Assumptions!$C$56+Assumptions!$C$57)+MAX(0,MIN(((Assumptions!$D$92*IF(Assumptions!F$206=2027,1+Assumptions!$F$193,1))/12),8*Assumptions!F$222)-Assumptions!F$222)*(Assumptions!$C$58+Assumptions!$C$59)+IF(((Assumptions!$D$92*IF(Assumptions!F$206=2027,1+Assumptions!$F$193,1))/12)&gt;Assumptions!F$222,MIN(((Assumptions!$D$92*IF(Assumptions!F$206=2027,1+Assumptions!$F$193,1))/12),8*Assumptions!F$222)*Assumptions!$C$60+MIN(((Assumptions!$D$92*IF(Assumptions!F$206=2027,1+Assumptions!$F$193,1))/12),4*Assumptions!F$222)*Assumptions!$C$61,0))</f>
        <v>3276.792</v>
      </c>
      <c r="G97" s="65" t="n">
        <f aca="false">G13*(MIN(((Assumptions!$D$92*IF(Assumptions!G$206=2027,1+Assumptions!$F$193,1))/12),Assumptions!G$222)*(Assumptions!$C$56+Assumptions!$C$57)+MAX(0,MIN(((Assumptions!$D$92*IF(Assumptions!G$206=2027,1+Assumptions!$F$193,1))/12),8*Assumptions!G$222)-Assumptions!G$222)*(Assumptions!$C$58+Assumptions!$C$59)+IF(((Assumptions!$D$92*IF(Assumptions!G$206=2027,1+Assumptions!$F$193,1))/12)&gt;Assumptions!G$222,MIN(((Assumptions!$D$92*IF(Assumptions!G$206=2027,1+Assumptions!$F$193,1))/12),8*Assumptions!G$222)*Assumptions!$C$60+MIN(((Assumptions!$D$92*IF(Assumptions!G$206=2027,1+Assumptions!$F$193,1))/12),4*Assumptions!G$222)*Assumptions!$C$61,0))</f>
        <v>3276.792</v>
      </c>
      <c r="H97" s="65" t="n">
        <f aca="false">H13*(MIN(((Assumptions!$D$92*IF(Assumptions!H$206=2027,1+Assumptions!$F$193,1))/12),Assumptions!H$222)*(Assumptions!$C$56+Assumptions!$C$57)+MAX(0,MIN(((Assumptions!$D$92*IF(Assumptions!H$206=2027,1+Assumptions!$F$193,1))/12),8*Assumptions!H$222)-Assumptions!H$222)*(Assumptions!$C$58+Assumptions!$C$59)+IF(((Assumptions!$D$92*IF(Assumptions!H$206=2027,1+Assumptions!$F$193,1))/12)&gt;Assumptions!H$222,MIN(((Assumptions!$D$92*IF(Assumptions!H$206=2027,1+Assumptions!$F$193,1))/12),8*Assumptions!H$222)*Assumptions!$C$60+MIN(((Assumptions!$D$92*IF(Assumptions!H$206=2027,1+Assumptions!$F$193,1))/12),4*Assumptions!H$222)*Assumptions!$C$61,0))</f>
        <v>3276.792</v>
      </c>
      <c r="I97" s="65" t="n">
        <f aca="false">I13*(MIN(((Assumptions!$D$92*IF(Assumptions!I$206=2027,1+Assumptions!$F$193,1))/12),Assumptions!I$222)*(Assumptions!$C$56+Assumptions!$C$57)+MAX(0,MIN(((Assumptions!$D$92*IF(Assumptions!I$206=2027,1+Assumptions!$F$193,1))/12),8*Assumptions!I$222)-Assumptions!I$222)*(Assumptions!$C$58+Assumptions!$C$59)+IF(((Assumptions!$D$92*IF(Assumptions!I$206=2027,1+Assumptions!$F$193,1))/12)&gt;Assumptions!I$222,MIN(((Assumptions!$D$92*IF(Assumptions!I$206=2027,1+Assumptions!$F$193,1))/12),8*Assumptions!I$222)*Assumptions!$C$60+MIN(((Assumptions!$D$92*IF(Assumptions!I$206=2027,1+Assumptions!$F$193,1))/12),4*Assumptions!I$222)*Assumptions!$C$61,0))</f>
        <v>3276.792</v>
      </c>
      <c r="J97" s="65" t="n">
        <f aca="false">J13*(MIN(((Assumptions!$D$92*IF(Assumptions!J$206=2027,1+Assumptions!$F$193,1))/12),Assumptions!J$222)*(Assumptions!$C$56+Assumptions!$C$57)+MAX(0,MIN(((Assumptions!$D$92*IF(Assumptions!J$206=2027,1+Assumptions!$F$193,1))/12),8*Assumptions!J$222)-Assumptions!J$222)*(Assumptions!$C$58+Assumptions!$C$59)+IF(((Assumptions!$D$92*IF(Assumptions!J$206=2027,1+Assumptions!$F$193,1))/12)&gt;Assumptions!J$222,MIN(((Assumptions!$D$92*IF(Assumptions!J$206=2027,1+Assumptions!$F$193,1))/12),8*Assumptions!J$222)*Assumptions!$C$60+MIN(((Assumptions!$D$92*IF(Assumptions!J$206=2027,1+Assumptions!$F$193,1))/12),4*Assumptions!J$222)*Assumptions!$C$61,0))</f>
        <v>3276.792</v>
      </c>
      <c r="K97" s="65" t="n">
        <f aca="false">K13*(MIN(((Assumptions!$D$92*IF(Assumptions!K$206=2027,1+Assumptions!$F$193,1))/12),Assumptions!K$222)*(Assumptions!$C$56+Assumptions!$C$57)+MAX(0,MIN(((Assumptions!$D$92*IF(Assumptions!K$206=2027,1+Assumptions!$F$193,1))/12),8*Assumptions!K$222)-Assumptions!K$222)*(Assumptions!$C$58+Assumptions!$C$59)+IF(((Assumptions!$D$92*IF(Assumptions!K$206=2027,1+Assumptions!$F$193,1))/12)&gt;Assumptions!K$222,MIN(((Assumptions!$D$92*IF(Assumptions!K$206=2027,1+Assumptions!$F$193,1))/12),8*Assumptions!K$222)*Assumptions!$C$60+MIN(((Assumptions!$D$92*IF(Assumptions!K$206=2027,1+Assumptions!$F$193,1))/12),4*Assumptions!K$222)*Assumptions!$C$61,0))</f>
        <v>3276.792</v>
      </c>
      <c r="L97" s="65" t="n">
        <f aca="false">L13*(MIN(((Assumptions!$D$92*IF(Assumptions!L$206=2027,1+Assumptions!$F$193,1))/12),Assumptions!L$222)*(Assumptions!$C$56+Assumptions!$C$57)+MAX(0,MIN(((Assumptions!$D$92*IF(Assumptions!L$206=2027,1+Assumptions!$F$193,1))/12),8*Assumptions!L$222)-Assumptions!L$222)*(Assumptions!$C$58+Assumptions!$C$59)+IF(((Assumptions!$D$92*IF(Assumptions!L$206=2027,1+Assumptions!$F$193,1))/12)&gt;Assumptions!L$222,MIN(((Assumptions!$D$92*IF(Assumptions!L$206=2027,1+Assumptions!$F$193,1))/12),8*Assumptions!L$222)*Assumptions!$C$60+MIN(((Assumptions!$D$92*IF(Assumptions!L$206=2027,1+Assumptions!$F$193,1))/12),4*Assumptions!L$222)*Assumptions!$C$61,0))</f>
        <v>3276.792</v>
      </c>
      <c r="M97" s="65" t="n">
        <f aca="false">M13*(MIN(((Assumptions!$D$92*IF(Assumptions!M$206=2027,1+Assumptions!$F$193,1))/12),Assumptions!M$222)*(Assumptions!$C$56+Assumptions!$C$57)+MAX(0,MIN(((Assumptions!$D$92*IF(Assumptions!M$206=2027,1+Assumptions!$F$193,1))/12),8*Assumptions!M$222)-Assumptions!M$222)*(Assumptions!$C$58+Assumptions!$C$59)+IF(((Assumptions!$D$92*IF(Assumptions!M$206=2027,1+Assumptions!$F$193,1))/12)&gt;Assumptions!M$222,MIN(((Assumptions!$D$92*IF(Assumptions!M$206=2027,1+Assumptions!$F$193,1))/12),8*Assumptions!M$222)*Assumptions!$C$60+MIN(((Assumptions!$D$92*IF(Assumptions!M$206=2027,1+Assumptions!$F$193,1))/12),4*Assumptions!M$222)*Assumptions!$C$61,0))</f>
        <v>3249.4854</v>
      </c>
      <c r="N97" s="65" t="n">
        <f aca="false">N13*(MIN(((Assumptions!$D$92*IF(Assumptions!N$206=2027,1+Assumptions!$F$193,1))/12),Assumptions!N$222)*(Assumptions!$C$56+Assumptions!$C$57)+MAX(0,MIN(((Assumptions!$D$92*IF(Assumptions!N$206=2027,1+Assumptions!$F$193,1))/12),8*Assumptions!N$222)-Assumptions!N$222)*(Assumptions!$C$58+Assumptions!$C$59)+IF(((Assumptions!$D$92*IF(Assumptions!N$206=2027,1+Assumptions!$F$193,1))/12)&gt;Assumptions!N$222,MIN(((Assumptions!$D$92*IF(Assumptions!N$206=2027,1+Assumptions!$F$193,1))/12),8*Assumptions!N$222)*Assumptions!$C$60+MIN(((Assumptions!$D$92*IF(Assumptions!N$206=2027,1+Assumptions!$F$193,1))/12),4*Assumptions!N$222)*Assumptions!$C$61,0))</f>
        <v>3222.406355</v>
      </c>
      <c r="O97" s="65" t="n">
        <f aca="false">O13*(MIN(((Assumptions!$D$92*IF(Assumptions!O$206=2027,1+Assumptions!$F$193,1))/12),Assumptions!O$222)*(Assumptions!$C$56+Assumptions!$C$57)+MAX(0,MIN(((Assumptions!$D$92*IF(Assumptions!O$206=2027,1+Assumptions!$F$193,1))/12),8*Assumptions!O$222)-Assumptions!O$222)*(Assumptions!$C$58+Assumptions!$C$59)+IF(((Assumptions!$D$92*IF(Assumptions!O$206=2027,1+Assumptions!$F$193,1))/12)&gt;Assumptions!O$222,MIN(((Assumptions!$D$92*IF(Assumptions!O$206=2027,1+Assumptions!$F$193,1))/12),8*Assumptions!O$222)*Assumptions!$C$60+MIN(((Assumptions!$D$92*IF(Assumptions!O$206=2027,1+Assumptions!$F$193,1))/12),4*Assumptions!O$222)*Assumptions!$C$61,0))</f>
        <v>3222.85956870833</v>
      </c>
      <c r="P97" s="65" t="n">
        <f aca="false">P13*(MIN(((Assumptions!$D$92*IF(Assumptions!P$206=2027,1+Assumptions!$F$193,1))/12),Assumptions!P$222)*(Assumptions!$C$56+Assumptions!$C$57)+MAX(0,MIN(((Assumptions!$D$92*IF(Assumptions!P$206=2027,1+Assumptions!$F$193,1))/12),8*Assumptions!P$222)-Assumptions!P$222)*(Assumptions!$C$58+Assumptions!$C$59)+IF(((Assumptions!$D$92*IF(Assumptions!P$206=2027,1+Assumptions!$F$193,1))/12)&gt;Assumptions!P$222,MIN(((Assumptions!$D$92*IF(Assumptions!P$206=2027,1+Assumptions!$F$193,1))/12),8*Assumptions!P$222)*Assumptions!$C$60+MIN(((Assumptions!$D$92*IF(Assumptions!P$206=2027,1+Assumptions!$F$193,1))/12),4*Assumptions!P$222)*Assumptions!$C$61,0))</f>
        <v>3223.08145063576</v>
      </c>
      <c r="Q97" s="65" t="n">
        <f aca="false">Q13*(MIN(((Assumptions!$D$92*IF(Assumptions!Q$206=2027,1+Assumptions!$F$193,1))/12),Assumptions!Q$222)*(Assumptions!$C$56+Assumptions!$C$57)+MAX(0,MIN(((Assumptions!$D$92*IF(Assumptions!Q$206=2027,1+Assumptions!$F$193,1))/12),8*Assumptions!Q$222)-Assumptions!Q$222)*(Assumptions!$C$58+Assumptions!$C$59)+IF(((Assumptions!$D$92*IF(Assumptions!Q$206=2027,1+Assumptions!$F$193,1))/12)&gt;Assumptions!Q$222,MIN(((Assumptions!$D$92*IF(Assumptions!Q$206=2027,1+Assumptions!$F$193,1))/12),8*Assumptions!Q$222)*Assumptions!$C$60+MIN(((Assumptions!$D$92*IF(Assumptions!Q$206=2027,1+Assumptions!$F$193,1))/12),4*Assumptions!Q$222)*Assumptions!$C$61,0))</f>
        <v>3340.05110061272</v>
      </c>
      <c r="R97" s="65" t="n">
        <f aca="false">R13*(MIN(((Assumptions!$D$92*IF(Assumptions!R$206=2027,1+Assumptions!$F$193,1))/12),Assumptions!R$222)*(Assumptions!$C$56+Assumptions!$C$57)+MAX(0,MIN(((Assumptions!$D$92*IF(Assumptions!R$206=2027,1+Assumptions!$F$193,1))/12),8*Assumptions!R$222)-Assumptions!R$222)*(Assumptions!$C$58+Assumptions!$C$59)+IF(((Assumptions!$D$92*IF(Assumptions!R$206=2027,1+Assumptions!$F$193,1))/12)&gt;Assumptions!R$222,MIN(((Assumptions!$D$92*IF(Assumptions!R$206=2027,1+Assumptions!$F$193,1))/12),8*Assumptions!R$222)*Assumptions!$C$60+MIN(((Assumptions!$D$92*IF(Assumptions!R$206=2027,1+Assumptions!$F$193,1))/12),4*Assumptions!R$222)*Assumptions!$C$61,0))</f>
        <v>3340.04923307334</v>
      </c>
      <c r="S97" s="65" t="n">
        <f aca="false">S13*(MIN(((Assumptions!$D$92*IF(Assumptions!S$206=2027,1+Assumptions!$F$193,1))/12),Assumptions!S$222)*(Assumptions!$C$56+Assumptions!$C$57)+MAX(0,MIN(((Assumptions!$D$92*IF(Assumptions!S$206=2027,1+Assumptions!$F$193,1))/12),8*Assumptions!S$222)-Assumptions!S$222)*(Assumptions!$C$58+Assumptions!$C$59)+IF(((Assumptions!$D$92*IF(Assumptions!S$206=2027,1+Assumptions!$F$193,1))/12)&gt;Assumptions!S$222,MIN(((Assumptions!$D$92*IF(Assumptions!S$206=2027,1+Assumptions!$F$193,1))/12),8*Assumptions!S$222)*Assumptions!$C$60+MIN(((Assumptions!$D$92*IF(Assumptions!S$206=2027,1+Assumptions!$F$193,1))/12),4*Assumptions!S$222)*Assumptions!$C$61,0))</f>
        <v>3340.04929721928</v>
      </c>
      <c r="T97" s="65" t="n">
        <f aca="false">T13*(MIN(((Assumptions!$D$92*IF(Assumptions!T$206=2027,1+Assumptions!$F$193,1))/12),Assumptions!T$222)*(Assumptions!$C$56+Assumptions!$C$57)+MAX(0,MIN(((Assumptions!$D$92*IF(Assumptions!T$206=2027,1+Assumptions!$F$193,1))/12),8*Assumptions!T$222)-Assumptions!T$222)*(Assumptions!$C$58+Assumptions!$C$59)+IF(((Assumptions!$D$92*IF(Assumptions!T$206=2027,1+Assumptions!$F$193,1))/12)&gt;Assumptions!T$222,MIN(((Assumptions!$D$92*IF(Assumptions!T$206=2027,1+Assumptions!$F$193,1))/12),8*Assumptions!T$222)*Assumptions!$C$60+MIN(((Assumptions!$D$92*IF(Assumptions!T$206=2027,1+Assumptions!$F$193,1))/12),4*Assumptions!T$222)*Assumptions!$C$61,0))</f>
        <v>3340.04931224756</v>
      </c>
      <c r="U97" s="65" t="n">
        <f aca="false">U13*(MIN(((Assumptions!$D$92*IF(Assumptions!U$206=2027,1+Assumptions!$F$193,1))/12),Assumptions!U$222)*(Assumptions!$C$56+Assumptions!$C$57)+MAX(0,MIN(((Assumptions!$D$92*IF(Assumptions!U$206=2027,1+Assumptions!$F$193,1))/12),8*Assumptions!U$222)-Assumptions!U$222)*(Assumptions!$C$58+Assumptions!$C$59)+IF(((Assumptions!$D$92*IF(Assumptions!U$206=2027,1+Assumptions!$F$193,1))/12)&gt;Assumptions!U$222,MIN(((Assumptions!$D$92*IF(Assumptions!U$206=2027,1+Assumptions!$F$193,1))/12),8*Assumptions!U$222)*Assumptions!$C$60+MIN(((Assumptions!$D$92*IF(Assumptions!U$206=2027,1+Assumptions!$F$193,1))/12),4*Assumptions!U$222)*Assumptions!$C$61,0))</f>
        <v>3340.04931158778</v>
      </c>
      <c r="V97" s="65" t="n">
        <f aca="false">V13*(MIN(((Assumptions!$D$92*IF(Assumptions!V$206=2027,1+Assumptions!$F$193,1))/12),Assumptions!V$222)*(Assumptions!$C$56+Assumptions!$C$57)+MAX(0,MIN(((Assumptions!$D$92*IF(Assumptions!V$206=2027,1+Assumptions!$F$193,1))/12),8*Assumptions!V$222)-Assumptions!V$222)*(Assumptions!$C$58+Assumptions!$C$59)+IF(((Assumptions!$D$92*IF(Assumptions!V$206=2027,1+Assumptions!$F$193,1))/12)&gt;Assumptions!V$222,MIN(((Assumptions!$D$92*IF(Assumptions!V$206=2027,1+Assumptions!$F$193,1))/12),8*Assumptions!V$222)*Assumptions!$C$60+MIN(((Assumptions!$D$92*IF(Assumptions!V$206=2027,1+Assumptions!$F$193,1))/12),4*Assumptions!V$222)*Assumptions!$C$61,0))</f>
        <v>3340.04931146804</v>
      </c>
      <c r="W97" s="65" t="n">
        <f aca="false">W13*(MIN(((Assumptions!$D$92*IF(Assumptions!W$206=2027,1+Assumptions!$F$193,1))/12),Assumptions!W$222)*(Assumptions!$C$56+Assumptions!$C$57)+MAX(0,MIN(((Assumptions!$D$92*IF(Assumptions!W$206=2027,1+Assumptions!$F$193,1))/12),8*Assumptions!W$222)-Assumptions!W$222)*(Assumptions!$C$58+Assumptions!$C$59)+IF(((Assumptions!$D$92*IF(Assumptions!W$206=2027,1+Assumptions!$F$193,1))/12)&gt;Assumptions!W$222,MIN(((Assumptions!$D$92*IF(Assumptions!W$206=2027,1+Assumptions!$F$193,1))/12),8*Assumptions!W$222)*Assumptions!$C$60+MIN(((Assumptions!$D$92*IF(Assumptions!W$206=2027,1+Assumptions!$F$193,1))/12),4*Assumptions!W$222)*Assumptions!$C$61,0))</f>
        <v>3340.04931147454</v>
      </c>
      <c r="X97" s="65" t="n">
        <f aca="false">X13*(MIN(((Assumptions!$D$92*IF(Assumptions!X$206=2027,1+Assumptions!$F$193,1))/12),Assumptions!X$222)*(Assumptions!$C$56+Assumptions!$C$57)+MAX(0,MIN(((Assumptions!$D$92*IF(Assumptions!X$206=2027,1+Assumptions!$F$193,1))/12),8*Assumptions!X$222)-Assumptions!X$222)*(Assumptions!$C$58+Assumptions!$C$59)+IF(((Assumptions!$D$92*IF(Assumptions!X$206=2027,1+Assumptions!$F$193,1))/12)&gt;Assumptions!X$222,MIN(((Assumptions!$D$92*IF(Assumptions!X$206=2027,1+Assumptions!$F$193,1))/12),8*Assumptions!X$222)*Assumptions!$C$60+MIN(((Assumptions!$D$92*IF(Assumptions!X$206=2027,1+Assumptions!$F$193,1))/12),4*Assumptions!X$222)*Assumptions!$C$61,0))</f>
        <v>3340.04931147548</v>
      </c>
      <c r="Y97" s="65" t="n">
        <f aca="false">Y13*(MIN(((Assumptions!$D$92*IF(Assumptions!Y$206=2027,1+Assumptions!$F$193,1))/12),Assumptions!Y$222)*(Assumptions!$C$56+Assumptions!$C$57)+MAX(0,MIN(((Assumptions!$D$92*IF(Assumptions!Y$206=2027,1+Assumptions!$F$193,1))/12),8*Assumptions!Y$222)-Assumptions!Y$222)*(Assumptions!$C$58+Assumptions!$C$59)+IF(((Assumptions!$D$92*IF(Assumptions!Y$206=2027,1+Assumptions!$F$193,1))/12)&gt;Assumptions!Y$222,MIN(((Assumptions!$D$92*IF(Assumptions!Y$206=2027,1+Assumptions!$F$193,1))/12),8*Assumptions!Y$222)*Assumptions!$C$60+MIN(((Assumptions!$D$92*IF(Assumptions!Y$206=2027,1+Assumptions!$F$193,1))/12),4*Assumptions!Y$222)*Assumptions!$C$61,0))</f>
        <v>3340.04931147542</v>
      </c>
      <c r="Z97" s="65" t="n">
        <f aca="false">Z13*(MIN(((Assumptions!$D$92*IF(Assumptions!Z$206=2027,1+Assumptions!$F$193,1))/12),Assumptions!Z$222)*(Assumptions!$C$56+Assumptions!$C$57)+MAX(0,MIN(((Assumptions!$D$92*IF(Assumptions!Z$206=2027,1+Assumptions!$F$193,1))/12),8*Assumptions!Z$222)-Assumptions!Z$222)*(Assumptions!$C$58+Assumptions!$C$59)+IF(((Assumptions!$D$92*IF(Assumptions!Z$206=2027,1+Assumptions!$F$193,1))/12)&gt;Assumptions!Z$222,MIN(((Assumptions!$D$92*IF(Assumptions!Z$206=2027,1+Assumptions!$F$193,1))/12),8*Assumptions!Z$222)*Assumptions!$C$60+MIN(((Assumptions!$D$92*IF(Assumptions!Z$206=2027,1+Assumptions!$F$193,1))/12),4*Assumptions!Z$222)*Assumptions!$C$61,0))</f>
        <v>3340.04931147541</v>
      </c>
      <c r="AA97" s="65" t="n">
        <f aca="false">AA13*(MIN(((Assumptions!$D$92*IF(Assumptions!AA$206=2027,1+Assumptions!$F$193,1))/12),Assumptions!AA$222)*(Assumptions!$C$56+Assumptions!$C$57)+MAX(0,MIN(((Assumptions!$D$92*IF(Assumptions!AA$206=2027,1+Assumptions!$F$193,1))/12),8*Assumptions!AA$222)-Assumptions!AA$222)*(Assumptions!$C$58+Assumptions!$C$59)+IF(((Assumptions!$D$92*IF(Assumptions!AA$206=2027,1+Assumptions!$F$193,1))/12)&gt;Assumptions!AA$222,MIN(((Assumptions!$D$92*IF(Assumptions!AA$206=2027,1+Assumptions!$F$193,1))/12),8*Assumptions!AA$222)*Assumptions!$C$60+MIN(((Assumptions!$D$92*IF(Assumptions!AA$206=2027,1+Assumptions!$F$193,1))/12),4*Assumptions!AA$222)*Assumptions!$C$61,0))</f>
        <v>3340.04931147541</v>
      </c>
      <c r="AB97" s="65" t="n">
        <f aca="false">AB13*(MIN(((Assumptions!$D$92*IF(Assumptions!AB$206=2027,1+Assumptions!$F$193,1))/12),Assumptions!AB$222)*(Assumptions!$C$56+Assumptions!$C$57)+MAX(0,MIN(((Assumptions!$D$92*IF(Assumptions!AB$206=2027,1+Assumptions!$F$193,1))/12),8*Assumptions!AB$222)-Assumptions!AB$222)*(Assumptions!$C$58+Assumptions!$C$59)+IF(((Assumptions!$D$92*IF(Assumptions!AB$206=2027,1+Assumptions!$F$193,1))/12)&gt;Assumptions!AB$222,MIN(((Assumptions!$D$92*IF(Assumptions!AB$206=2027,1+Assumptions!$F$193,1))/12),8*Assumptions!AB$222)*Assumptions!$C$60+MIN(((Assumptions!$D$92*IF(Assumptions!AB$206=2027,1+Assumptions!$F$193,1))/12),4*Assumptions!AB$222)*Assumptions!$C$61,0))</f>
        <v>3340.04931147541</v>
      </c>
    </row>
    <row r="98" customFormat="false" ht="15" hidden="false" customHeight="false" outlineLevel="0" collapsed="false">
      <c r="A98" s="28" t="s">
        <v>1184</v>
      </c>
      <c r="B98" s="62" t="s">
        <v>1179</v>
      </c>
      <c r="C98" s="64" t="n">
        <f aca="false">SUM(E98:P98)</f>
        <v>25240.0518695571</v>
      </c>
      <c r="D98" s="64" t="n">
        <f aca="false">SUM(Q98:AB98)</f>
        <v>31932.2586629586</v>
      </c>
      <c r="E98" s="65" t="n">
        <f aca="false">E14*(MIN(((Assumptions!$D$93*IF(Assumptions!E$206=2027,1+Assumptions!$F$193,1))/12),Assumptions!E$222)*(Assumptions!$C$56+Assumptions!$C$57)+MAX(0,MIN(((Assumptions!$D$93*IF(Assumptions!E$206=2027,1+Assumptions!$F$193,1))/12),8*Assumptions!E$222)-Assumptions!E$222)*(Assumptions!$C$58+Assumptions!$C$59)+IF(((Assumptions!$D$93*IF(Assumptions!E$206=2027,1+Assumptions!$F$193,1))/12)&gt;Assumptions!E$222,MIN(((Assumptions!$D$93*IF(Assumptions!E$206=2027,1+Assumptions!$F$193,1))/12),8*Assumptions!E$222)*Assumptions!$C$60+MIN(((Assumptions!$D$93*IF(Assumptions!E$206=2027,1+Assumptions!$F$193,1))/12),4*Assumptions!E$222)*Assumptions!$C$61,0))</f>
        <v>1795.192</v>
      </c>
      <c r="F98" s="65" t="n">
        <f aca="false">F14*(MIN(((Assumptions!$D$93*IF(Assumptions!F$206=2027,1+Assumptions!$F$193,1))/12),Assumptions!F$222)*(Assumptions!$C$56+Assumptions!$C$57)+MAX(0,MIN(((Assumptions!$D$93*IF(Assumptions!F$206=2027,1+Assumptions!$F$193,1))/12),8*Assumptions!F$222)-Assumptions!F$222)*(Assumptions!$C$58+Assumptions!$C$59)+IF(((Assumptions!$D$93*IF(Assumptions!F$206=2027,1+Assumptions!$F$193,1))/12)&gt;Assumptions!F$222,MIN(((Assumptions!$D$93*IF(Assumptions!F$206=2027,1+Assumptions!$F$193,1))/12),8*Assumptions!F$222)*Assumptions!$C$60+MIN(((Assumptions!$D$93*IF(Assumptions!F$206=2027,1+Assumptions!$F$193,1))/12),4*Assumptions!F$222)*Assumptions!$C$61,0))</f>
        <v>1795.192</v>
      </c>
      <c r="G98" s="65" t="n">
        <f aca="false">G14*(MIN(((Assumptions!$D$93*IF(Assumptions!G$206=2027,1+Assumptions!$F$193,1))/12),Assumptions!G$222)*(Assumptions!$C$56+Assumptions!$C$57)+MAX(0,MIN(((Assumptions!$D$93*IF(Assumptions!G$206=2027,1+Assumptions!$F$193,1))/12),8*Assumptions!G$222)-Assumptions!G$222)*(Assumptions!$C$58+Assumptions!$C$59)+IF(((Assumptions!$D$93*IF(Assumptions!G$206=2027,1+Assumptions!$F$193,1))/12)&gt;Assumptions!G$222,MIN(((Assumptions!$D$93*IF(Assumptions!G$206=2027,1+Assumptions!$F$193,1))/12),8*Assumptions!G$222)*Assumptions!$C$60+MIN(((Assumptions!$D$93*IF(Assumptions!G$206=2027,1+Assumptions!$F$193,1))/12),4*Assumptions!G$222)*Assumptions!$C$61,0))</f>
        <v>2094.39066666667</v>
      </c>
      <c r="H98" s="65" t="n">
        <f aca="false">H14*(MIN(((Assumptions!$D$93*IF(Assumptions!H$206=2027,1+Assumptions!$F$193,1))/12),Assumptions!H$222)*(Assumptions!$C$56+Assumptions!$C$57)+MAX(0,MIN(((Assumptions!$D$93*IF(Assumptions!H$206=2027,1+Assumptions!$F$193,1))/12),8*Assumptions!H$222)-Assumptions!H$222)*(Assumptions!$C$58+Assumptions!$C$59)+IF(((Assumptions!$D$93*IF(Assumptions!H$206=2027,1+Assumptions!$F$193,1))/12)&gt;Assumptions!H$222,MIN(((Assumptions!$D$93*IF(Assumptions!H$206=2027,1+Assumptions!$F$193,1))/12),8*Assumptions!H$222)*Assumptions!$C$60+MIN(((Assumptions!$D$93*IF(Assumptions!H$206=2027,1+Assumptions!$F$193,1))/12),4*Assumptions!H$222)*Assumptions!$C$61,0))</f>
        <v>2094.39066666667</v>
      </c>
      <c r="I98" s="65" t="n">
        <f aca="false">I14*(MIN(((Assumptions!$D$93*IF(Assumptions!I$206=2027,1+Assumptions!$F$193,1))/12),Assumptions!I$222)*(Assumptions!$C$56+Assumptions!$C$57)+MAX(0,MIN(((Assumptions!$D$93*IF(Assumptions!I$206=2027,1+Assumptions!$F$193,1))/12),8*Assumptions!I$222)-Assumptions!I$222)*(Assumptions!$C$58+Assumptions!$C$59)+IF(((Assumptions!$D$93*IF(Assumptions!I$206=2027,1+Assumptions!$F$193,1))/12)&gt;Assumptions!I$222,MIN(((Assumptions!$D$93*IF(Assumptions!I$206=2027,1+Assumptions!$F$193,1))/12),8*Assumptions!I$222)*Assumptions!$C$60+MIN(((Assumptions!$D$93*IF(Assumptions!I$206=2027,1+Assumptions!$F$193,1))/12),4*Assumptions!I$222)*Assumptions!$C$61,0))</f>
        <v>2094.39066666667</v>
      </c>
      <c r="J98" s="65" t="n">
        <f aca="false">J14*(MIN(((Assumptions!$D$93*IF(Assumptions!J$206=2027,1+Assumptions!$F$193,1))/12),Assumptions!J$222)*(Assumptions!$C$56+Assumptions!$C$57)+MAX(0,MIN(((Assumptions!$D$93*IF(Assumptions!J$206=2027,1+Assumptions!$F$193,1))/12),8*Assumptions!J$222)-Assumptions!J$222)*(Assumptions!$C$58+Assumptions!$C$59)+IF(((Assumptions!$D$93*IF(Assumptions!J$206=2027,1+Assumptions!$F$193,1))/12)&gt;Assumptions!J$222,MIN(((Assumptions!$D$93*IF(Assumptions!J$206=2027,1+Assumptions!$F$193,1))/12),8*Assumptions!J$222)*Assumptions!$C$60+MIN(((Assumptions!$D$93*IF(Assumptions!J$206=2027,1+Assumptions!$F$193,1))/12),4*Assumptions!J$222)*Assumptions!$C$61,0))</f>
        <v>2094.39066666667</v>
      </c>
      <c r="K98" s="65" t="n">
        <f aca="false">K14*(MIN(((Assumptions!$D$93*IF(Assumptions!K$206=2027,1+Assumptions!$F$193,1))/12),Assumptions!K$222)*(Assumptions!$C$56+Assumptions!$C$57)+MAX(0,MIN(((Assumptions!$D$93*IF(Assumptions!K$206=2027,1+Assumptions!$F$193,1))/12),8*Assumptions!K$222)-Assumptions!K$222)*(Assumptions!$C$58+Assumptions!$C$59)+IF(((Assumptions!$D$93*IF(Assumptions!K$206=2027,1+Assumptions!$F$193,1))/12)&gt;Assumptions!K$222,MIN(((Assumptions!$D$93*IF(Assumptions!K$206=2027,1+Assumptions!$F$193,1))/12),8*Assumptions!K$222)*Assumptions!$C$60+MIN(((Assumptions!$D$93*IF(Assumptions!K$206=2027,1+Assumptions!$F$193,1))/12),4*Assumptions!K$222)*Assumptions!$C$61,0))</f>
        <v>2094.39066666667</v>
      </c>
      <c r="L98" s="65" t="n">
        <f aca="false">L14*(MIN(((Assumptions!$D$93*IF(Assumptions!L$206=2027,1+Assumptions!$F$193,1))/12),Assumptions!L$222)*(Assumptions!$C$56+Assumptions!$C$57)+MAX(0,MIN(((Assumptions!$D$93*IF(Assumptions!L$206=2027,1+Assumptions!$F$193,1))/12),8*Assumptions!L$222)-Assumptions!L$222)*(Assumptions!$C$58+Assumptions!$C$59)+IF(((Assumptions!$D$93*IF(Assumptions!L$206=2027,1+Assumptions!$F$193,1))/12)&gt;Assumptions!L$222,MIN(((Assumptions!$D$93*IF(Assumptions!L$206=2027,1+Assumptions!$F$193,1))/12),8*Assumptions!L$222)*Assumptions!$C$60+MIN(((Assumptions!$D$93*IF(Assumptions!L$206=2027,1+Assumptions!$F$193,1))/12),4*Assumptions!L$222)*Assumptions!$C$61,0))</f>
        <v>2094.39066666667</v>
      </c>
      <c r="M98" s="65" t="n">
        <f aca="false">M14*(MIN(((Assumptions!$D$93*IF(Assumptions!M$206=2027,1+Assumptions!$F$193,1))/12),Assumptions!M$222)*(Assumptions!$C$56+Assumptions!$C$57)+MAX(0,MIN(((Assumptions!$D$93*IF(Assumptions!M$206=2027,1+Assumptions!$F$193,1))/12),8*Assumptions!M$222)-Assumptions!M$222)*(Assumptions!$C$58+Assumptions!$C$59)+IF(((Assumptions!$D$93*IF(Assumptions!M$206=2027,1+Assumptions!$F$193,1))/12)&gt;Assumptions!M$222,MIN(((Assumptions!$D$93*IF(Assumptions!M$206=2027,1+Assumptions!$F$193,1))/12),8*Assumptions!M$222)*Assumptions!$C$60+MIN(((Assumptions!$D$93*IF(Assumptions!M$206=2027,1+Assumptions!$F$193,1))/12),4*Assumptions!M$222)*Assumptions!$C$61,0))</f>
        <v>2068.21078333333</v>
      </c>
      <c r="N98" s="65" t="n">
        <f aca="false">N14*(MIN(((Assumptions!$D$93*IF(Assumptions!N$206=2027,1+Assumptions!$F$193,1))/12),Assumptions!N$222)*(Assumptions!$C$56+Assumptions!$C$57)+MAX(0,MIN(((Assumptions!$D$93*IF(Assumptions!N$206=2027,1+Assumptions!$F$193,1))/12),8*Assumptions!N$222)-Assumptions!N$222)*(Assumptions!$C$58+Assumptions!$C$59)+IF(((Assumptions!$D$93*IF(Assumptions!N$206=2027,1+Assumptions!$F$193,1))/12)&gt;Assumptions!N$222,MIN(((Assumptions!$D$93*IF(Assumptions!N$206=2027,1+Assumptions!$F$193,1))/12),8*Assumptions!N$222)*Assumptions!$C$60+MIN(((Assumptions!$D$93*IF(Assumptions!N$206=2027,1+Assumptions!$F$193,1))/12),4*Assumptions!N$222)*Assumptions!$C$61,0))</f>
        <v>2341.55681520833</v>
      </c>
      <c r="O98" s="65" t="n">
        <f aca="false">O14*(MIN(((Assumptions!$D$93*IF(Assumptions!O$206=2027,1+Assumptions!$F$193,1))/12),Assumptions!O$222)*(Assumptions!$C$56+Assumptions!$C$57)+MAX(0,MIN(((Assumptions!$D$93*IF(Assumptions!O$206=2027,1+Assumptions!$F$193,1))/12),8*Assumptions!O$222)-Assumptions!O$222)*(Assumptions!$C$58+Assumptions!$C$59)+IF(((Assumptions!$D$93*IF(Assumptions!O$206=2027,1+Assumptions!$F$193,1))/12)&gt;Assumptions!O$222,MIN(((Assumptions!$D$93*IF(Assumptions!O$206=2027,1+Assumptions!$F$193,1))/12),8*Assumptions!O$222)*Assumptions!$C$60+MIN(((Assumptions!$D$93*IF(Assumptions!O$206=2027,1+Assumptions!$F$193,1))/12),4*Assumptions!O$222)*Assumptions!$C$61,0))</f>
        <v>2338.46723835156</v>
      </c>
      <c r="P98" s="65" t="n">
        <f aca="false">P14*(MIN(((Assumptions!$D$93*IF(Assumptions!P$206=2027,1+Assumptions!$F$193,1))/12),Assumptions!P$222)*(Assumptions!$C$56+Assumptions!$C$57)+MAX(0,MIN(((Assumptions!$D$93*IF(Assumptions!P$206=2027,1+Assumptions!$F$193,1))/12),8*Assumptions!P$222)-Assumptions!P$222)*(Assumptions!$C$58+Assumptions!$C$59)+IF(((Assumptions!$D$93*IF(Assumptions!P$206=2027,1+Assumptions!$F$193,1))/12)&gt;Assumptions!P$222,MIN(((Assumptions!$D$93*IF(Assumptions!P$206=2027,1+Assumptions!$F$193,1))/12),8*Assumptions!P$222)*Assumptions!$C$60+MIN(((Assumptions!$D$93*IF(Assumptions!P$206=2027,1+Assumptions!$F$193,1))/12),4*Assumptions!P$222)*Assumptions!$C$61,0))</f>
        <v>2335.08903266383</v>
      </c>
      <c r="Q98" s="65" t="n">
        <f aca="false">Q14*(MIN(((Assumptions!$D$93*IF(Assumptions!Q$206=2027,1+Assumptions!$F$193,1))/12),Assumptions!Q$222)*(Assumptions!$C$56+Assumptions!$C$57)+MAX(0,MIN(((Assumptions!$D$93*IF(Assumptions!Q$206=2027,1+Assumptions!$F$193,1))/12),8*Assumptions!Q$222)-Assumptions!Q$222)*(Assumptions!$C$58+Assumptions!$C$59)+IF(((Assumptions!$D$93*IF(Assumptions!Q$206=2027,1+Assumptions!$F$193,1))/12)&gt;Assumptions!Q$222,MIN(((Assumptions!$D$93*IF(Assumptions!Q$206=2027,1+Assumptions!$F$193,1))/12),8*Assumptions!Q$222)*Assumptions!$C$60+MIN(((Assumptions!$D$93*IF(Assumptions!Q$206=2027,1+Assumptions!$F$193,1))/12),4*Assumptions!Q$222)*Assumptions!$C$61,0))</f>
        <v>2432.04864283826</v>
      </c>
      <c r="R98" s="65" t="n">
        <f aca="false">R14*(MIN(((Assumptions!$D$93*IF(Assumptions!R$206=2027,1+Assumptions!$F$193,1))/12),Assumptions!R$222)*(Assumptions!$C$56+Assumptions!$C$57)+MAX(0,MIN(((Assumptions!$D$93*IF(Assumptions!R$206=2027,1+Assumptions!$F$193,1))/12),8*Assumptions!R$222)-Assumptions!R$222)*(Assumptions!$C$58+Assumptions!$C$59)+IF(((Assumptions!$D$93*IF(Assumptions!R$206=2027,1+Assumptions!$F$193,1))/12)&gt;Assumptions!R$222,MIN(((Assumptions!$D$93*IF(Assumptions!R$206=2027,1+Assumptions!$F$193,1))/12),8*Assumptions!R$222)*Assumptions!$C$60+MIN(((Assumptions!$D$93*IF(Assumptions!R$206=2027,1+Assumptions!$F$193,1))/12),4*Assumptions!R$222)*Assumptions!$C$61,0))</f>
        <v>2432.0915697796</v>
      </c>
      <c r="S98" s="65" t="n">
        <f aca="false">S14*(MIN(((Assumptions!$D$93*IF(Assumptions!S$206=2027,1+Assumptions!$F$193,1))/12),Assumptions!S$222)*(Assumptions!$C$56+Assumptions!$C$57)+MAX(0,MIN(((Assumptions!$D$93*IF(Assumptions!S$206=2027,1+Assumptions!$F$193,1))/12),8*Assumptions!S$222)-Assumptions!S$222)*(Assumptions!$C$58+Assumptions!$C$59)+IF(((Assumptions!$D$93*IF(Assumptions!S$206=2027,1+Assumptions!$F$193,1))/12)&gt;Assumptions!S$222,MIN(((Assumptions!$D$93*IF(Assumptions!S$206=2027,1+Assumptions!$F$193,1))/12),8*Assumptions!S$222)*Assumptions!$C$60+MIN(((Assumptions!$D$93*IF(Assumptions!S$206=2027,1+Assumptions!$F$193,1))/12),4*Assumptions!S$222)*Assumptions!$C$61,0))</f>
        <v>2432.08998067561</v>
      </c>
      <c r="T98" s="65" t="n">
        <f aca="false">T14*(MIN(((Assumptions!$D$93*IF(Assumptions!T$206=2027,1+Assumptions!$F$193,1))/12),Assumptions!T$222)*(Assumptions!$C$56+Assumptions!$C$57)+MAX(0,MIN(((Assumptions!$D$93*IF(Assumptions!T$206=2027,1+Assumptions!$F$193,1))/12),8*Assumptions!T$222)-Assumptions!T$222)*(Assumptions!$C$58+Assumptions!$C$59)+IF(((Assumptions!$D$93*IF(Assumptions!T$206=2027,1+Assumptions!$F$193,1))/12)&gt;Assumptions!T$222,MIN(((Assumptions!$D$93*IF(Assumptions!T$206=2027,1+Assumptions!$F$193,1))/12),8*Assumptions!T$222)*Assumptions!$C$60+MIN(((Assumptions!$D$93*IF(Assumptions!T$206=2027,1+Assumptions!$F$193,1))/12),4*Assumptions!T$222)*Assumptions!$C$61,0))</f>
        <v>2743.70093061931</v>
      </c>
      <c r="U98" s="65" t="n">
        <f aca="false">U14*(MIN(((Assumptions!$D$93*IF(Assumptions!U$206=2027,1+Assumptions!$F$193,1))/12),Assumptions!U$222)*(Assumptions!$C$56+Assumptions!$C$57)+MAX(0,MIN(((Assumptions!$D$93*IF(Assumptions!U$206=2027,1+Assumptions!$F$193,1))/12),8*Assumptions!U$222)-Assumptions!U$222)*(Assumptions!$C$58+Assumptions!$C$59)+IF(((Assumptions!$D$93*IF(Assumptions!U$206=2027,1+Assumptions!$F$193,1))/12)&gt;Assumptions!U$222,MIN(((Assumptions!$D$93*IF(Assumptions!U$206=2027,1+Assumptions!$F$193,1))/12),8*Assumptions!U$222)*Assumptions!$C$60+MIN(((Assumptions!$D$93*IF(Assumptions!U$206=2027,1+Assumptions!$F$193,1))/12),4*Assumptions!U$222)*Assumptions!$C$61,0))</f>
        <v>2739.80581360881</v>
      </c>
      <c r="V98" s="65" t="n">
        <f aca="false">V14*(MIN(((Assumptions!$D$93*IF(Assumptions!V$206=2027,1+Assumptions!$F$193,1))/12),Assumptions!V$222)*(Assumptions!$C$56+Assumptions!$C$57)+MAX(0,MIN(((Assumptions!$D$93*IF(Assumptions!V$206=2027,1+Assumptions!$F$193,1))/12),8*Assumptions!V$222)-Assumptions!V$222)*(Assumptions!$C$58+Assumptions!$C$59)+IF(((Assumptions!$D$93*IF(Assumptions!V$206=2027,1+Assumptions!$F$193,1))/12)&gt;Assumptions!V$222,MIN(((Assumptions!$D$93*IF(Assumptions!V$206=2027,1+Assumptions!$F$193,1))/12),8*Assumptions!V$222)*Assumptions!$C$60+MIN(((Assumptions!$D$93*IF(Assumptions!V$206=2027,1+Assumptions!$F$193,1))/12),4*Assumptions!V$222)*Assumptions!$C$61,0))</f>
        <v>2735.95936569715</v>
      </c>
      <c r="W98" s="65" t="n">
        <f aca="false">W14*(MIN(((Assumptions!$D$93*IF(Assumptions!W$206=2027,1+Assumptions!$F$193,1))/12),Assumptions!W$222)*(Assumptions!$C$56+Assumptions!$C$57)+MAX(0,MIN(((Assumptions!$D$93*IF(Assumptions!W$206=2027,1+Assumptions!$F$193,1))/12),8*Assumptions!W$222)-Assumptions!W$222)*(Assumptions!$C$58+Assumptions!$C$59)+IF(((Assumptions!$D$93*IF(Assumptions!W$206=2027,1+Assumptions!$F$193,1))/12)&gt;Assumptions!W$222,MIN(((Assumptions!$D$93*IF(Assumptions!W$206=2027,1+Assumptions!$F$193,1))/12),8*Assumptions!W$222)*Assumptions!$C$60+MIN(((Assumptions!$D$93*IF(Assumptions!W$206=2027,1+Assumptions!$F$193,1))/12),4*Assumptions!W$222)*Assumptions!$C$61,0))</f>
        <v>2736.05613525867</v>
      </c>
      <c r="X98" s="65" t="n">
        <f aca="false">X14*(MIN(((Assumptions!$D$93*IF(Assumptions!X$206=2027,1+Assumptions!$F$193,1))/12),Assumptions!X$222)*(Assumptions!$C$56+Assumptions!$C$57)+MAX(0,MIN(((Assumptions!$D$93*IF(Assumptions!X$206=2027,1+Assumptions!$F$193,1))/12),8*Assumptions!X$222)-Assumptions!X$222)*(Assumptions!$C$58+Assumptions!$C$59)+IF(((Assumptions!$D$93*IF(Assumptions!X$206=2027,1+Assumptions!$F$193,1))/12)&gt;Assumptions!X$222,MIN(((Assumptions!$D$93*IF(Assumptions!X$206=2027,1+Assumptions!$F$193,1))/12),8*Assumptions!X$222)*Assumptions!$C$60+MIN(((Assumptions!$D$93*IF(Assumptions!X$206=2027,1+Assumptions!$F$193,1))/12),4*Assumptions!X$222)*Assumptions!$C$61,0))</f>
        <v>2736.10300623805</v>
      </c>
      <c r="Y98" s="65" t="n">
        <f aca="false">Y14*(MIN(((Assumptions!$D$93*IF(Assumptions!Y$206=2027,1+Assumptions!$F$193,1))/12),Assumptions!Y$222)*(Assumptions!$C$56+Assumptions!$C$57)+MAX(0,MIN(((Assumptions!$D$93*IF(Assumptions!Y$206=2027,1+Assumptions!$F$193,1))/12),8*Assumptions!Y$222)-Assumptions!Y$222)*(Assumptions!$C$58+Assumptions!$C$59)+IF(((Assumptions!$D$93*IF(Assumptions!Y$206=2027,1+Assumptions!$F$193,1))/12)&gt;Assumptions!Y$222,MIN(((Assumptions!$D$93*IF(Assumptions!Y$206=2027,1+Assumptions!$F$193,1))/12),8*Assumptions!Y$222)*Assumptions!$C$60+MIN(((Assumptions!$D$93*IF(Assumptions!Y$206=2027,1+Assumptions!$F$193,1))/12),4*Assumptions!Y$222)*Assumptions!$C$61,0))</f>
        <v>2736.10121073129</v>
      </c>
      <c r="Z98" s="65" t="n">
        <f aca="false">Z14*(MIN(((Assumptions!$D$93*IF(Assumptions!Z$206=2027,1+Assumptions!$F$193,1))/12),Assumptions!Z$222)*(Assumptions!$C$56+Assumptions!$C$57)+MAX(0,MIN(((Assumptions!$D$93*IF(Assumptions!Z$206=2027,1+Assumptions!$F$193,1))/12),8*Assumptions!Z$222)-Assumptions!Z$222)*(Assumptions!$C$58+Assumptions!$C$59)+IF(((Assumptions!$D$93*IF(Assumptions!Z$206=2027,1+Assumptions!$F$193,1))/12)&gt;Assumptions!Z$222,MIN(((Assumptions!$D$93*IF(Assumptions!Z$206=2027,1+Assumptions!$F$193,1))/12),8*Assumptions!Z$222)*Assumptions!$C$60+MIN(((Assumptions!$D$93*IF(Assumptions!Z$206=2027,1+Assumptions!$F$193,1))/12),4*Assumptions!Z$222)*Assumptions!$C$61,0))</f>
        <v>2736.10064728788</v>
      </c>
      <c r="AA98" s="65" t="n">
        <f aca="false">AA14*(MIN(((Assumptions!$D$93*IF(Assumptions!AA$206=2027,1+Assumptions!$F$193,1))/12),Assumptions!AA$222)*(Assumptions!$C$56+Assumptions!$C$57)+MAX(0,MIN(((Assumptions!$D$93*IF(Assumptions!AA$206=2027,1+Assumptions!$F$193,1))/12),8*Assumptions!AA$222)-Assumptions!AA$222)*(Assumptions!$C$58+Assumptions!$C$59)+IF(((Assumptions!$D$93*IF(Assumptions!AA$206=2027,1+Assumptions!$F$193,1))/12)&gt;Assumptions!AA$222,MIN(((Assumptions!$D$93*IF(Assumptions!AA$206=2027,1+Assumptions!$F$193,1))/12),8*Assumptions!AA$222)*Assumptions!$C$60+MIN(((Assumptions!$D$93*IF(Assumptions!AA$206=2027,1+Assumptions!$F$193,1))/12),4*Assumptions!AA$222)*Assumptions!$C$61,0))</f>
        <v>2736.10067677476</v>
      </c>
      <c r="AB98" s="65" t="n">
        <f aca="false">AB14*(MIN(((Assumptions!$D$93*IF(Assumptions!AB$206=2027,1+Assumptions!$F$193,1))/12),Assumptions!AB$222)*(Assumptions!$C$56+Assumptions!$C$57)+MAX(0,MIN(((Assumptions!$D$93*IF(Assumptions!AB$206=2027,1+Assumptions!$F$193,1))/12),8*Assumptions!AB$222)-Assumptions!AB$222)*(Assumptions!$C$58+Assumptions!$C$59)+IF(((Assumptions!$D$93*IF(Assumptions!AB$206=2027,1+Assumptions!$F$193,1))/12)&gt;Assumptions!AB$222,MIN(((Assumptions!$D$93*IF(Assumptions!AB$206=2027,1+Assumptions!$F$193,1))/12),8*Assumptions!AB$222)*Assumptions!$C$60+MIN(((Assumptions!$D$93*IF(Assumptions!AB$206=2027,1+Assumptions!$F$193,1))/12),4*Assumptions!AB$222)*Assumptions!$C$61,0))</f>
        <v>2736.10068344922</v>
      </c>
    </row>
    <row r="99" customFormat="false" ht="15" hidden="false" customHeight="false" outlineLevel="0" collapsed="false">
      <c r="A99" s="28" t="s">
        <v>1185</v>
      </c>
      <c r="B99" s="62" t="s">
        <v>1179</v>
      </c>
      <c r="C99" s="64" t="n">
        <f aca="false">SUM(E99:P99)</f>
        <v>19370.4342634504</v>
      </c>
      <c r="D99" s="64" t="n">
        <f aca="false">SUM(Q99:AB99)</f>
        <v>25474.9318581214</v>
      </c>
      <c r="E99" s="65" t="n">
        <f aca="false">E15*(MIN(((Assumptions!$D$94*IF(Assumptions!E$206=2027,1+Assumptions!$F$193,1))/12),Assumptions!E$222)*(Assumptions!$C$56+Assumptions!$C$57)+MAX(0,MIN(((Assumptions!$D$94*IF(Assumptions!E$206=2027,1+Assumptions!$F$193,1))/12),8*Assumptions!E$222)-Assumptions!E$222)*(Assumptions!$C$58+Assumptions!$C$59)+IF(((Assumptions!$D$94*IF(Assumptions!E$206=2027,1+Assumptions!$F$193,1))/12)&gt;Assumptions!E$222,MIN(((Assumptions!$D$94*IF(Assumptions!E$206=2027,1+Assumptions!$F$193,1))/12),8*Assumptions!E$222)*Assumptions!$C$60+MIN(((Assumptions!$D$94*IF(Assumptions!E$206=2027,1+Assumptions!$F$193,1))/12),4*Assumptions!E$222)*Assumptions!$C$61,0))</f>
        <v>1394.34133333333</v>
      </c>
      <c r="F99" s="65" t="n">
        <f aca="false">F15*(MIN(((Assumptions!$D$94*IF(Assumptions!F$206=2027,1+Assumptions!$F$193,1))/12),Assumptions!F$222)*(Assumptions!$C$56+Assumptions!$C$57)+MAX(0,MIN(((Assumptions!$D$94*IF(Assumptions!F$206=2027,1+Assumptions!$F$193,1))/12),8*Assumptions!F$222)-Assumptions!F$222)*(Assumptions!$C$58+Assumptions!$C$59)+IF(((Assumptions!$D$94*IF(Assumptions!F$206=2027,1+Assumptions!$F$193,1))/12)&gt;Assumptions!F$222,MIN(((Assumptions!$D$94*IF(Assumptions!F$206=2027,1+Assumptions!$F$193,1))/12),8*Assumptions!F$222)*Assumptions!$C$60+MIN(((Assumptions!$D$94*IF(Assumptions!F$206=2027,1+Assumptions!$F$193,1))/12),4*Assumptions!F$222)*Assumptions!$C$61,0))</f>
        <v>1394.34133333333</v>
      </c>
      <c r="G99" s="65" t="n">
        <f aca="false">G15*(MIN(((Assumptions!$D$94*IF(Assumptions!G$206=2027,1+Assumptions!$F$193,1))/12),Assumptions!G$222)*(Assumptions!$C$56+Assumptions!$C$57)+MAX(0,MIN(((Assumptions!$D$94*IF(Assumptions!G$206=2027,1+Assumptions!$F$193,1))/12),8*Assumptions!G$222)-Assumptions!G$222)*(Assumptions!$C$58+Assumptions!$C$59)+IF(((Assumptions!$D$94*IF(Assumptions!G$206=2027,1+Assumptions!$F$193,1))/12)&gt;Assumptions!G$222,MIN(((Assumptions!$D$94*IF(Assumptions!G$206=2027,1+Assumptions!$F$193,1))/12),8*Assumptions!G$222)*Assumptions!$C$60+MIN(((Assumptions!$D$94*IF(Assumptions!G$206=2027,1+Assumptions!$F$193,1))/12),4*Assumptions!G$222)*Assumptions!$C$61,0))</f>
        <v>1394.34133333333</v>
      </c>
      <c r="H99" s="65" t="n">
        <f aca="false">H15*(MIN(((Assumptions!$D$94*IF(Assumptions!H$206=2027,1+Assumptions!$F$193,1))/12),Assumptions!H$222)*(Assumptions!$C$56+Assumptions!$C$57)+MAX(0,MIN(((Assumptions!$D$94*IF(Assumptions!H$206=2027,1+Assumptions!$F$193,1))/12),8*Assumptions!H$222)-Assumptions!H$222)*(Assumptions!$C$58+Assumptions!$C$59)+IF(((Assumptions!$D$94*IF(Assumptions!H$206=2027,1+Assumptions!$F$193,1))/12)&gt;Assumptions!H$222,MIN(((Assumptions!$D$94*IF(Assumptions!H$206=2027,1+Assumptions!$F$193,1))/12),8*Assumptions!H$222)*Assumptions!$C$60+MIN(((Assumptions!$D$94*IF(Assumptions!H$206=2027,1+Assumptions!$F$193,1))/12),4*Assumptions!H$222)*Assumptions!$C$61,0))</f>
        <v>1394.34133333333</v>
      </c>
      <c r="I99" s="65" t="n">
        <f aca="false">I15*(MIN(((Assumptions!$D$94*IF(Assumptions!I$206=2027,1+Assumptions!$F$193,1))/12),Assumptions!I$222)*(Assumptions!$C$56+Assumptions!$C$57)+MAX(0,MIN(((Assumptions!$D$94*IF(Assumptions!I$206=2027,1+Assumptions!$F$193,1))/12),8*Assumptions!I$222)-Assumptions!I$222)*(Assumptions!$C$58+Assumptions!$C$59)+IF(((Assumptions!$D$94*IF(Assumptions!I$206=2027,1+Assumptions!$F$193,1))/12)&gt;Assumptions!I$222,MIN(((Assumptions!$D$94*IF(Assumptions!I$206=2027,1+Assumptions!$F$193,1))/12),8*Assumptions!I$222)*Assumptions!$C$60+MIN(((Assumptions!$D$94*IF(Assumptions!I$206=2027,1+Assumptions!$F$193,1))/12),4*Assumptions!I$222)*Assumptions!$C$61,0))</f>
        <v>1742.92666666667</v>
      </c>
      <c r="J99" s="65" t="n">
        <f aca="false">J15*(MIN(((Assumptions!$D$94*IF(Assumptions!J$206=2027,1+Assumptions!$F$193,1))/12),Assumptions!J$222)*(Assumptions!$C$56+Assumptions!$C$57)+MAX(0,MIN(((Assumptions!$D$94*IF(Assumptions!J$206=2027,1+Assumptions!$F$193,1))/12),8*Assumptions!J$222)-Assumptions!J$222)*(Assumptions!$C$58+Assumptions!$C$59)+IF(((Assumptions!$D$94*IF(Assumptions!J$206=2027,1+Assumptions!$F$193,1))/12)&gt;Assumptions!J$222,MIN(((Assumptions!$D$94*IF(Assumptions!J$206=2027,1+Assumptions!$F$193,1))/12),8*Assumptions!J$222)*Assumptions!$C$60+MIN(((Assumptions!$D$94*IF(Assumptions!J$206=2027,1+Assumptions!$F$193,1))/12),4*Assumptions!J$222)*Assumptions!$C$61,0))</f>
        <v>1742.92666666667</v>
      </c>
      <c r="K99" s="65" t="n">
        <f aca="false">K15*(MIN(((Assumptions!$D$94*IF(Assumptions!K$206=2027,1+Assumptions!$F$193,1))/12),Assumptions!K$222)*(Assumptions!$C$56+Assumptions!$C$57)+MAX(0,MIN(((Assumptions!$D$94*IF(Assumptions!K$206=2027,1+Assumptions!$F$193,1))/12),8*Assumptions!K$222)-Assumptions!K$222)*(Assumptions!$C$58+Assumptions!$C$59)+IF(((Assumptions!$D$94*IF(Assumptions!K$206=2027,1+Assumptions!$F$193,1))/12)&gt;Assumptions!K$222,MIN(((Assumptions!$D$94*IF(Assumptions!K$206=2027,1+Assumptions!$F$193,1))/12),8*Assumptions!K$222)*Assumptions!$C$60+MIN(((Assumptions!$D$94*IF(Assumptions!K$206=2027,1+Assumptions!$F$193,1))/12),4*Assumptions!K$222)*Assumptions!$C$61,0))</f>
        <v>1742.92666666667</v>
      </c>
      <c r="L99" s="65" t="n">
        <f aca="false">L15*(MIN(((Assumptions!$D$94*IF(Assumptions!L$206=2027,1+Assumptions!$F$193,1))/12),Assumptions!L$222)*(Assumptions!$C$56+Assumptions!$C$57)+MAX(0,MIN(((Assumptions!$D$94*IF(Assumptions!L$206=2027,1+Assumptions!$F$193,1))/12),8*Assumptions!L$222)-Assumptions!L$222)*(Assumptions!$C$58+Assumptions!$C$59)+IF(((Assumptions!$D$94*IF(Assumptions!L$206=2027,1+Assumptions!$F$193,1))/12)&gt;Assumptions!L$222,MIN(((Assumptions!$D$94*IF(Assumptions!L$206=2027,1+Assumptions!$F$193,1))/12),8*Assumptions!L$222)*Assumptions!$C$60+MIN(((Assumptions!$D$94*IF(Assumptions!L$206=2027,1+Assumptions!$F$193,1))/12),4*Assumptions!L$222)*Assumptions!$C$61,0))</f>
        <v>1742.92666666667</v>
      </c>
      <c r="M99" s="65" t="n">
        <f aca="false">M15*(MIN(((Assumptions!$D$94*IF(Assumptions!M$206=2027,1+Assumptions!$F$193,1))/12),Assumptions!M$222)*(Assumptions!$C$56+Assumptions!$C$57)+MAX(0,MIN(((Assumptions!$D$94*IF(Assumptions!M$206=2027,1+Assumptions!$F$193,1))/12),8*Assumptions!M$222)-Assumptions!M$222)*(Assumptions!$C$58+Assumptions!$C$59)+IF(((Assumptions!$D$94*IF(Assumptions!M$206=2027,1+Assumptions!$F$193,1))/12)&gt;Assumptions!M$222,MIN(((Assumptions!$D$94*IF(Assumptions!M$206=2027,1+Assumptions!$F$193,1))/12),8*Assumptions!M$222)*Assumptions!$C$60+MIN(((Assumptions!$D$94*IF(Assumptions!M$206=2027,1+Assumptions!$F$193,1))/12),4*Assumptions!M$222)*Assumptions!$C$61,0))</f>
        <v>1721.14008333333</v>
      </c>
      <c r="N99" s="65" t="n">
        <f aca="false">N15*(MIN(((Assumptions!$D$94*IF(Assumptions!N$206=2027,1+Assumptions!$F$193,1))/12),Assumptions!N$222)*(Assumptions!$C$56+Assumptions!$C$57)+MAX(0,MIN(((Assumptions!$D$94*IF(Assumptions!N$206=2027,1+Assumptions!$F$193,1))/12),8*Assumptions!N$222)-Assumptions!N$222)*(Assumptions!$C$58+Assumptions!$C$59)+IF(((Assumptions!$D$94*IF(Assumptions!N$206=2027,1+Assumptions!$F$193,1))/12)&gt;Assumptions!N$222,MIN(((Assumptions!$D$94*IF(Assumptions!N$206=2027,1+Assumptions!$F$193,1))/12),8*Assumptions!N$222)*Assumptions!$C$60+MIN(((Assumptions!$D$94*IF(Assumptions!N$206=2027,1+Assumptions!$F$193,1))/12),4*Assumptions!N$222)*Assumptions!$C$61,0))</f>
        <v>1699.62583229167</v>
      </c>
      <c r="O99" s="65" t="n">
        <f aca="false">O15*(MIN(((Assumptions!$D$94*IF(Assumptions!O$206=2027,1+Assumptions!$F$193,1))/12),Assumptions!O$222)*(Assumptions!$C$56+Assumptions!$C$57)+MAX(0,MIN(((Assumptions!$D$94*IF(Assumptions!O$206=2027,1+Assumptions!$F$193,1))/12),8*Assumptions!O$222)-Assumptions!O$222)*(Assumptions!$C$58+Assumptions!$C$59)+IF(((Assumptions!$D$94*IF(Assumptions!O$206=2027,1+Assumptions!$F$193,1))/12)&gt;Assumptions!O$222,MIN(((Assumptions!$D$94*IF(Assumptions!O$206=2027,1+Assumptions!$F$193,1))/12),8*Assumptions!O$222)*Assumptions!$C$60+MIN(((Assumptions!$D$94*IF(Assumptions!O$206=2027,1+Assumptions!$F$193,1))/12),4*Assumptions!O$222)*Assumptions!$C$61,0))</f>
        <v>1700.16709272135</v>
      </c>
      <c r="P99" s="65" t="n">
        <f aca="false">P15*(MIN(((Assumptions!$D$94*IF(Assumptions!P$206=2027,1+Assumptions!$F$193,1))/12),Assumptions!P$222)*(Assumptions!$C$56+Assumptions!$C$57)+MAX(0,MIN(((Assumptions!$D$94*IF(Assumptions!P$206=2027,1+Assumptions!$F$193,1))/12),8*Assumptions!P$222)-Assumptions!P$222)*(Assumptions!$C$58+Assumptions!$C$59)+IF(((Assumptions!$D$94*IF(Assumptions!P$206=2027,1+Assumptions!$F$193,1))/12)&gt;Assumptions!P$222,MIN(((Assumptions!$D$94*IF(Assumptions!P$206=2027,1+Assumptions!$F$193,1))/12),8*Assumptions!P$222)*Assumptions!$C$60+MIN(((Assumptions!$D$94*IF(Assumptions!P$206=2027,1+Assumptions!$F$193,1))/12),4*Assumptions!P$222)*Assumptions!$C$61,0))</f>
        <v>1700.429255104</v>
      </c>
      <c r="Q99" s="65" t="n">
        <f aca="false">Q15*(MIN(((Assumptions!$D$94*IF(Assumptions!Q$206=2027,1+Assumptions!$F$193,1))/12),Assumptions!Q$222)*(Assumptions!$C$56+Assumptions!$C$57)+MAX(0,MIN(((Assumptions!$D$94*IF(Assumptions!Q$206=2027,1+Assumptions!$F$193,1))/12),8*Assumptions!Q$222)-Assumptions!Q$222)*(Assumptions!$C$58+Assumptions!$C$59)+IF(((Assumptions!$D$94*IF(Assumptions!Q$206=2027,1+Assumptions!$F$193,1))/12)&gt;Assumptions!Q$222,MIN(((Assumptions!$D$94*IF(Assumptions!Q$206=2027,1+Assumptions!$F$193,1))/12),8*Assumptions!Q$222)*Assumptions!$C$60+MIN(((Assumptions!$D$94*IF(Assumptions!Q$206=2027,1+Assumptions!$F$193,1))/12),4*Assumptions!Q$222)*Assumptions!$C$61,0))</f>
        <v>2130.67662429895</v>
      </c>
      <c r="R99" s="65" t="n">
        <f aca="false">R15*(MIN(((Assumptions!$D$94*IF(Assumptions!R$206=2027,1+Assumptions!$F$193,1))/12),Assumptions!R$222)*(Assumptions!$C$56+Assumptions!$C$57)+MAX(0,MIN(((Assumptions!$D$94*IF(Assumptions!R$206=2027,1+Assumptions!$F$193,1))/12),8*Assumptions!R$222)-Assumptions!R$222)*(Assumptions!$C$58+Assumptions!$C$59)+IF(((Assumptions!$D$94*IF(Assumptions!R$206=2027,1+Assumptions!$F$193,1))/12)&gt;Assumptions!R$222,MIN(((Assumptions!$D$94*IF(Assumptions!R$206=2027,1+Assumptions!$F$193,1))/12),8*Assumptions!R$222)*Assumptions!$C$60+MIN(((Assumptions!$D$94*IF(Assumptions!R$206=2027,1+Assumptions!$F$193,1))/12),4*Assumptions!R$222)*Assumptions!$C$61,0))</f>
        <v>2126.14235052064</v>
      </c>
      <c r="S99" s="65" t="n">
        <f aca="false">S15*(MIN(((Assumptions!$D$94*IF(Assumptions!S$206=2027,1+Assumptions!$F$193,1))/12),Assumptions!S$222)*(Assumptions!$C$56+Assumptions!$C$57)+MAX(0,MIN(((Assumptions!$D$94*IF(Assumptions!S$206=2027,1+Assumptions!$F$193,1))/12),8*Assumptions!S$222)-Assumptions!S$222)*(Assumptions!$C$58+Assumptions!$C$59)+IF(((Assumptions!$D$94*IF(Assumptions!S$206=2027,1+Assumptions!$F$193,1))/12)&gt;Assumptions!S$222,MIN(((Assumptions!$D$94*IF(Assumptions!S$206=2027,1+Assumptions!$F$193,1))/12),8*Assumptions!S$222)*Assumptions!$C$60+MIN(((Assumptions!$D$94*IF(Assumptions!S$206=2027,1+Assumptions!$F$193,1))/12),4*Assumptions!S$222)*Assumptions!$C$61,0))</f>
        <v>2121.66816281476</v>
      </c>
      <c r="T99" s="65" t="n">
        <f aca="false">T15*(MIN(((Assumptions!$D$94*IF(Assumptions!T$206=2027,1+Assumptions!$F$193,1))/12),Assumptions!T$222)*(Assumptions!$C$56+Assumptions!$C$57)+MAX(0,MIN(((Assumptions!$D$94*IF(Assumptions!T$206=2027,1+Assumptions!$F$193,1))/12),8*Assumptions!T$222)-Assumptions!T$222)*(Assumptions!$C$58+Assumptions!$C$59)+IF(((Assumptions!$D$94*IF(Assumptions!T$206=2027,1+Assumptions!$F$193,1))/12)&gt;Assumptions!T$222,MIN(((Assumptions!$D$94*IF(Assumptions!T$206=2027,1+Assumptions!$F$193,1))/12),8*Assumptions!T$222)*Assumptions!$C$60+MIN(((Assumptions!$D$94*IF(Assumptions!T$206=2027,1+Assumptions!$F$193,1))/12),4*Assumptions!T$222)*Assumptions!$C$61,0))</f>
        <v>2121.78076858331</v>
      </c>
      <c r="U99" s="65" t="n">
        <f aca="false">U15*(MIN(((Assumptions!$D$94*IF(Assumptions!U$206=2027,1+Assumptions!$F$193,1))/12),Assumptions!U$222)*(Assumptions!$C$56+Assumptions!$C$57)+MAX(0,MIN(((Assumptions!$D$94*IF(Assumptions!U$206=2027,1+Assumptions!$F$193,1))/12),8*Assumptions!U$222)-Assumptions!U$222)*(Assumptions!$C$58+Assumptions!$C$59)+IF(((Assumptions!$D$94*IF(Assumptions!U$206=2027,1+Assumptions!$F$193,1))/12)&gt;Assumptions!U$222,MIN(((Assumptions!$D$94*IF(Assumptions!U$206=2027,1+Assumptions!$F$193,1))/12),8*Assumptions!U$222)*Assumptions!$C$60+MIN(((Assumptions!$D$94*IF(Assumptions!U$206=2027,1+Assumptions!$F$193,1))/12),4*Assumptions!U$222)*Assumptions!$C$61,0))</f>
        <v>2121.83528835752</v>
      </c>
      <c r="V99" s="65" t="n">
        <f aca="false">V15*(MIN(((Assumptions!$D$94*IF(Assumptions!V$206=2027,1+Assumptions!$F$193,1))/12),Assumptions!V$222)*(Assumptions!$C$56+Assumptions!$C$57)+MAX(0,MIN(((Assumptions!$D$94*IF(Assumptions!V$206=2027,1+Assumptions!$F$193,1))/12),8*Assumptions!V$222)-Assumptions!V$222)*(Assumptions!$C$58+Assumptions!$C$59)+IF(((Assumptions!$D$94*IF(Assumptions!V$206=2027,1+Assumptions!$F$193,1))/12)&gt;Assumptions!V$222,MIN(((Assumptions!$D$94*IF(Assumptions!V$206=2027,1+Assumptions!$F$193,1))/12),8*Assumptions!V$222)*Assumptions!$C$60+MIN(((Assumptions!$D$94*IF(Assumptions!V$206=2027,1+Assumptions!$F$193,1))/12),4*Assumptions!V$222)*Assumptions!$C$61,0))</f>
        <v>2121.83319928824</v>
      </c>
      <c r="W99" s="65" t="n">
        <f aca="false">W15*(MIN(((Assumptions!$D$94*IF(Assumptions!W$206=2027,1+Assumptions!$F$193,1))/12),Assumptions!W$222)*(Assumptions!$C$56+Assumptions!$C$57)+MAX(0,MIN(((Assumptions!$D$94*IF(Assumptions!W$206=2027,1+Assumptions!$F$193,1))/12),8*Assumptions!W$222)-Assumptions!W$222)*(Assumptions!$C$58+Assumptions!$C$59)+IF(((Assumptions!$D$94*IF(Assumptions!W$206=2027,1+Assumptions!$F$193,1))/12)&gt;Assumptions!W$222,MIN(((Assumptions!$D$94*IF(Assumptions!W$206=2027,1+Assumptions!$F$193,1))/12),8*Assumptions!W$222)*Assumptions!$C$60+MIN(((Assumptions!$D$94*IF(Assumptions!W$206=2027,1+Assumptions!$F$193,1))/12),4*Assumptions!W$222)*Assumptions!$C$61,0))</f>
        <v>2121.83254390443</v>
      </c>
      <c r="X99" s="65" t="n">
        <f aca="false">X15*(MIN(((Assumptions!$D$94*IF(Assumptions!X$206=2027,1+Assumptions!$F$193,1))/12),Assumptions!X$222)*(Assumptions!$C$56+Assumptions!$C$57)+MAX(0,MIN(((Assumptions!$D$94*IF(Assumptions!X$206=2027,1+Assumptions!$F$193,1))/12),8*Assumptions!X$222)-Assumptions!X$222)*(Assumptions!$C$58+Assumptions!$C$59)+IF(((Assumptions!$D$94*IF(Assumptions!X$206=2027,1+Assumptions!$F$193,1))/12)&gt;Assumptions!X$222,MIN(((Assumptions!$D$94*IF(Assumptions!X$206=2027,1+Assumptions!$F$193,1))/12),8*Assumptions!X$222)*Assumptions!$C$60+MIN(((Assumptions!$D$94*IF(Assumptions!X$206=2027,1+Assumptions!$F$193,1))/12),4*Assumptions!X$222)*Assumptions!$C$61,0))</f>
        <v>2121.83257821009</v>
      </c>
      <c r="Y99" s="65" t="n">
        <f aca="false">Y15*(MIN(((Assumptions!$D$94*IF(Assumptions!Y$206=2027,1+Assumptions!$F$193,1))/12),Assumptions!Y$222)*(Assumptions!$C$56+Assumptions!$C$57)+MAX(0,MIN(((Assumptions!$D$94*IF(Assumptions!Y$206=2027,1+Assumptions!$F$193,1))/12),8*Assumptions!Y$222)-Assumptions!Y$222)*(Assumptions!$C$58+Assumptions!$C$59)+IF(((Assumptions!$D$94*IF(Assumptions!Y$206=2027,1+Assumptions!$F$193,1))/12)&gt;Assumptions!Y$222,MIN(((Assumptions!$D$94*IF(Assumptions!Y$206=2027,1+Assumptions!$F$193,1))/12),8*Assumptions!Y$222)*Assumptions!$C$60+MIN(((Assumptions!$D$94*IF(Assumptions!Y$206=2027,1+Assumptions!$F$193,1))/12),4*Assumptions!Y$222)*Assumptions!$C$61,0))</f>
        <v>2121.83258597357</v>
      </c>
      <c r="Z99" s="65" t="n">
        <f aca="false">Z15*(MIN(((Assumptions!$D$94*IF(Assumptions!Z$206=2027,1+Assumptions!$F$193,1))/12),Assumptions!Z$222)*(Assumptions!$C$56+Assumptions!$C$57)+MAX(0,MIN(((Assumptions!$D$94*IF(Assumptions!Z$206=2027,1+Assumptions!$F$193,1))/12),8*Assumptions!Z$222)-Assumptions!Z$222)*(Assumptions!$C$58+Assumptions!$C$59)+IF(((Assumptions!$D$94*IF(Assumptions!Z$206=2027,1+Assumptions!$F$193,1))/12)&gt;Assumptions!Z$222,MIN(((Assumptions!$D$94*IF(Assumptions!Z$206=2027,1+Assumptions!$F$193,1))/12),8*Assumptions!Z$222)*Assumptions!$C$60+MIN(((Assumptions!$D$94*IF(Assumptions!Z$206=2027,1+Assumptions!$F$193,1))/12),4*Assumptions!Z$222)*Assumptions!$C$61,0))</f>
        <v>2121.83258544771</v>
      </c>
      <c r="AA99" s="65" t="n">
        <f aca="false">AA15*(MIN(((Assumptions!$D$94*IF(Assumptions!AA$206=2027,1+Assumptions!$F$193,1))/12),Assumptions!AA$222)*(Assumptions!$C$56+Assumptions!$C$57)+MAX(0,MIN(((Assumptions!$D$94*IF(Assumptions!AA$206=2027,1+Assumptions!$F$193,1))/12),8*Assumptions!AA$222)-Assumptions!AA$222)*(Assumptions!$C$58+Assumptions!$C$59)+IF(((Assumptions!$D$94*IF(Assumptions!AA$206=2027,1+Assumptions!$F$193,1))/12)&gt;Assumptions!AA$222,MIN(((Assumptions!$D$94*IF(Assumptions!AA$206=2027,1+Assumptions!$F$193,1))/12),8*Assumptions!AA$222)*Assumptions!$C$60+MIN(((Assumptions!$D$94*IF(Assumptions!AA$206=2027,1+Assumptions!$F$193,1))/12),4*Assumptions!AA$222)*Assumptions!$C$61,0))</f>
        <v>2121.83258535723</v>
      </c>
      <c r="AB99" s="65" t="n">
        <f aca="false">AB15*(MIN(((Assumptions!$D$94*IF(Assumptions!AB$206=2027,1+Assumptions!$F$193,1))/12),Assumptions!AB$222)*(Assumptions!$C$56+Assumptions!$C$57)+MAX(0,MIN(((Assumptions!$D$94*IF(Assumptions!AB$206=2027,1+Assumptions!$F$193,1))/12),8*Assumptions!AB$222)-Assumptions!AB$222)*(Assumptions!$C$58+Assumptions!$C$59)+IF(((Assumptions!$D$94*IF(Assumptions!AB$206=2027,1+Assumptions!$F$193,1))/12)&gt;Assumptions!AB$222,MIN(((Assumptions!$D$94*IF(Assumptions!AB$206=2027,1+Assumptions!$F$193,1))/12),8*Assumptions!AB$222)*Assumptions!$C$60+MIN(((Assumptions!$D$94*IF(Assumptions!AB$206=2027,1+Assumptions!$F$193,1))/12),4*Assumptions!AB$222)*Assumptions!$C$61,0))</f>
        <v>2121.83258536494</v>
      </c>
    </row>
    <row r="100" customFormat="false" ht="15" hidden="false" customHeight="false" outlineLevel="0" collapsed="false">
      <c r="A100" s="28" t="s">
        <v>1186</v>
      </c>
      <c r="B100" s="62" t="s">
        <v>1179</v>
      </c>
      <c r="C100" s="64" t="n">
        <f aca="false">SUM(E100:P100)</f>
        <v>15002.3786759443</v>
      </c>
      <c r="D100" s="64" t="n">
        <f aca="false">SUM(Q100:AB100)</f>
        <v>15137.9192910068</v>
      </c>
      <c r="E100" s="65" t="n">
        <f aca="false">E16*(MIN(((Assumptions!$D$95*IF(Assumptions!E$206=2027,1+Assumptions!$F$193,1))/12),Assumptions!E$222)*(Assumptions!$C$56+Assumptions!$C$57)+MAX(0,MIN(((Assumptions!$D$95*IF(Assumptions!E$206=2027,1+Assumptions!$F$193,1))/12),8*Assumptions!E$222)-Assumptions!E$222)*(Assumptions!$C$58+Assumptions!$C$59)+IF(((Assumptions!$D$95*IF(Assumptions!E$206=2027,1+Assumptions!$F$193,1))/12)&gt;Assumptions!E$222,MIN(((Assumptions!$D$95*IF(Assumptions!E$206=2027,1+Assumptions!$F$193,1))/12),8*Assumptions!E$222)*Assumptions!$C$60+MIN(((Assumptions!$D$95*IF(Assumptions!E$206=2027,1+Assumptions!$F$193,1))/12),4*Assumptions!E$222)*Assumptions!$C$61,0))</f>
        <v>1262.23866666667</v>
      </c>
      <c r="F100" s="65" t="n">
        <f aca="false">F16*(MIN(((Assumptions!$D$95*IF(Assumptions!F$206=2027,1+Assumptions!$F$193,1))/12),Assumptions!F$222)*(Assumptions!$C$56+Assumptions!$C$57)+MAX(0,MIN(((Assumptions!$D$95*IF(Assumptions!F$206=2027,1+Assumptions!$F$193,1))/12),8*Assumptions!F$222)-Assumptions!F$222)*(Assumptions!$C$58+Assumptions!$C$59)+IF(((Assumptions!$D$95*IF(Assumptions!F$206=2027,1+Assumptions!$F$193,1))/12)&gt;Assumptions!F$222,MIN(((Assumptions!$D$95*IF(Assumptions!F$206=2027,1+Assumptions!$F$193,1))/12),8*Assumptions!F$222)*Assumptions!$C$60+MIN(((Assumptions!$D$95*IF(Assumptions!F$206=2027,1+Assumptions!$F$193,1))/12),4*Assumptions!F$222)*Assumptions!$C$61,0))</f>
        <v>1262.23866666667</v>
      </c>
      <c r="G100" s="65" t="n">
        <f aca="false">G16*(MIN(((Assumptions!$D$95*IF(Assumptions!G$206=2027,1+Assumptions!$F$193,1))/12),Assumptions!G$222)*(Assumptions!$C$56+Assumptions!$C$57)+MAX(0,MIN(((Assumptions!$D$95*IF(Assumptions!G$206=2027,1+Assumptions!$F$193,1))/12),8*Assumptions!G$222)-Assumptions!G$222)*(Assumptions!$C$58+Assumptions!$C$59)+IF(((Assumptions!$D$95*IF(Assumptions!G$206=2027,1+Assumptions!$F$193,1))/12)&gt;Assumptions!G$222,MIN(((Assumptions!$D$95*IF(Assumptions!G$206=2027,1+Assumptions!$F$193,1))/12),8*Assumptions!G$222)*Assumptions!$C$60+MIN(((Assumptions!$D$95*IF(Assumptions!G$206=2027,1+Assumptions!$F$193,1))/12),4*Assumptions!G$222)*Assumptions!$C$61,0))</f>
        <v>1262.23866666667</v>
      </c>
      <c r="H100" s="65" t="n">
        <f aca="false">H16*(MIN(((Assumptions!$D$95*IF(Assumptions!H$206=2027,1+Assumptions!$F$193,1))/12),Assumptions!H$222)*(Assumptions!$C$56+Assumptions!$C$57)+MAX(0,MIN(((Assumptions!$D$95*IF(Assumptions!H$206=2027,1+Assumptions!$F$193,1))/12),8*Assumptions!H$222)-Assumptions!H$222)*(Assumptions!$C$58+Assumptions!$C$59)+IF(((Assumptions!$D$95*IF(Assumptions!H$206=2027,1+Assumptions!$F$193,1))/12)&gt;Assumptions!H$222,MIN(((Assumptions!$D$95*IF(Assumptions!H$206=2027,1+Assumptions!$F$193,1))/12),8*Assumptions!H$222)*Assumptions!$C$60+MIN(((Assumptions!$D$95*IF(Assumptions!H$206=2027,1+Assumptions!$F$193,1))/12),4*Assumptions!H$222)*Assumptions!$C$61,0))</f>
        <v>1262.23866666667</v>
      </c>
      <c r="I100" s="65" t="n">
        <f aca="false">I16*(MIN(((Assumptions!$D$95*IF(Assumptions!I$206=2027,1+Assumptions!$F$193,1))/12),Assumptions!I$222)*(Assumptions!$C$56+Assumptions!$C$57)+MAX(0,MIN(((Assumptions!$D$95*IF(Assumptions!I$206=2027,1+Assumptions!$F$193,1))/12),8*Assumptions!I$222)-Assumptions!I$222)*(Assumptions!$C$58+Assumptions!$C$59)+IF(((Assumptions!$D$95*IF(Assumptions!I$206=2027,1+Assumptions!$F$193,1))/12)&gt;Assumptions!I$222,MIN(((Assumptions!$D$95*IF(Assumptions!I$206=2027,1+Assumptions!$F$193,1))/12),8*Assumptions!I$222)*Assumptions!$C$60+MIN(((Assumptions!$D$95*IF(Assumptions!I$206=2027,1+Assumptions!$F$193,1))/12),4*Assumptions!I$222)*Assumptions!$C$61,0))</f>
        <v>1262.23866666667</v>
      </c>
      <c r="J100" s="65" t="n">
        <f aca="false">J16*(MIN(((Assumptions!$D$95*IF(Assumptions!J$206=2027,1+Assumptions!$F$193,1))/12),Assumptions!J$222)*(Assumptions!$C$56+Assumptions!$C$57)+MAX(0,MIN(((Assumptions!$D$95*IF(Assumptions!J$206=2027,1+Assumptions!$F$193,1))/12),8*Assumptions!J$222)-Assumptions!J$222)*(Assumptions!$C$58+Assumptions!$C$59)+IF(((Assumptions!$D$95*IF(Assumptions!J$206=2027,1+Assumptions!$F$193,1))/12)&gt;Assumptions!J$222,MIN(((Assumptions!$D$95*IF(Assumptions!J$206=2027,1+Assumptions!$F$193,1))/12),8*Assumptions!J$222)*Assumptions!$C$60+MIN(((Assumptions!$D$95*IF(Assumptions!J$206=2027,1+Assumptions!$F$193,1))/12),4*Assumptions!J$222)*Assumptions!$C$61,0))</f>
        <v>1262.23866666667</v>
      </c>
      <c r="K100" s="65" t="n">
        <f aca="false">K16*(MIN(((Assumptions!$D$95*IF(Assumptions!K$206=2027,1+Assumptions!$F$193,1))/12),Assumptions!K$222)*(Assumptions!$C$56+Assumptions!$C$57)+MAX(0,MIN(((Assumptions!$D$95*IF(Assumptions!K$206=2027,1+Assumptions!$F$193,1))/12),8*Assumptions!K$222)-Assumptions!K$222)*(Assumptions!$C$58+Assumptions!$C$59)+IF(((Assumptions!$D$95*IF(Assumptions!K$206=2027,1+Assumptions!$F$193,1))/12)&gt;Assumptions!K$222,MIN(((Assumptions!$D$95*IF(Assumptions!K$206=2027,1+Assumptions!$F$193,1))/12),8*Assumptions!K$222)*Assumptions!$C$60+MIN(((Assumptions!$D$95*IF(Assumptions!K$206=2027,1+Assumptions!$F$193,1))/12),4*Assumptions!K$222)*Assumptions!$C$61,0))</f>
        <v>1262.23866666667</v>
      </c>
      <c r="L100" s="65" t="n">
        <f aca="false">L16*(MIN(((Assumptions!$D$95*IF(Assumptions!L$206=2027,1+Assumptions!$F$193,1))/12),Assumptions!L$222)*(Assumptions!$C$56+Assumptions!$C$57)+MAX(0,MIN(((Assumptions!$D$95*IF(Assumptions!L$206=2027,1+Assumptions!$F$193,1))/12),8*Assumptions!L$222)-Assumptions!L$222)*(Assumptions!$C$58+Assumptions!$C$59)+IF(((Assumptions!$D$95*IF(Assumptions!L$206=2027,1+Assumptions!$F$193,1))/12)&gt;Assumptions!L$222,MIN(((Assumptions!$D$95*IF(Assumptions!L$206=2027,1+Assumptions!$F$193,1))/12),8*Assumptions!L$222)*Assumptions!$C$60+MIN(((Assumptions!$D$95*IF(Assumptions!L$206=2027,1+Assumptions!$F$193,1))/12),4*Assumptions!L$222)*Assumptions!$C$61,0))</f>
        <v>1262.23866666667</v>
      </c>
      <c r="M100" s="65" t="n">
        <f aca="false">M16*(MIN(((Assumptions!$D$95*IF(Assumptions!M$206=2027,1+Assumptions!$F$193,1))/12),Assumptions!M$222)*(Assumptions!$C$56+Assumptions!$C$57)+MAX(0,MIN(((Assumptions!$D$95*IF(Assumptions!M$206=2027,1+Assumptions!$F$193,1))/12),8*Assumptions!M$222)-Assumptions!M$222)*(Assumptions!$C$58+Assumptions!$C$59)+IF(((Assumptions!$D$95*IF(Assumptions!M$206=2027,1+Assumptions!$F$193,1))/12)&gt;Assumptions!M$222,MIN(((Assumptions!$D$95*IF(Assumptions!M$206=2027,1+Assumptions!$F$193,1))/12),8*Assumptions!M$222)*Assumptions!$C$60+MIN(((Assumptions!$D$95*IF(Assumptions!M$206=2027,1+Assumptions!$F$193,1))/12),4*Assumptions!M$222)*Assumptions!$C$61,0))</f>
        <v>1241.20135555556</v>
      </c>
      <c r="N100" s="65" t="n">
        <f aca="false">N16*(MIN(((Assumptions!$D$95*IF(Assumptions!N$206=2027,1+Assumptions!$F$193,1))/12),Assumptions!N$222)*(Assumptions!$C$56+Assumptions!$C$57)+MAX(0,MIN(((Assumptions!$D$95*IF(Assumptions!N$206=2027,1+Assumptions!$F$193,1))/12),8*Assumptions!N$222)-Assumptions!N$222)*(Assumptions!$C$58+Assumptions!$C$59)+IF(((Assumptions!$D$95*IF(Assumptions!N$206=2027,1+Assumptions!$F$193,1))/12)&gt;Assumptions!N$222,MIN(((Assumptions!$D$95*IF(Assumptions!N$206=2027,1+Assumptions!$F$193,1))/12),8*Assumptions!N$222)*Assumptions!$C$60+MIN(((Assumptions!$D$95*IF(Assumptions!N$206=2027,1+Assumptions!$F$193,1))/12),4*Assumptions!N$222)*Assumptions!$C$61,0))</f>
        <v>1220.5146662963</v>
      </c>
      <c r="O100" s="65" t="n">
        <f aca="false">O16*(MIN(((Assumptions!$D$95*IF(Assumptions!O$206=2027,1+Assumptions!$F$193,1))/12),Assumptions!O$222)*(Assumptions!$C$56+Assumptions!$C$57)+MAX(0,MIN(((Assumptions!$D$95*IF(Assumptions!O$206=2027,1+Assumptions!$F$193,1))/12),8*Assumptions!O$222)-Assumptions!O$222)*(Assumptions!$C$58+Assumptions!$C$59)+IF(((Assumptions!$D$95*IF(Assumptions!O$206=2027,1+Assumptions!$F$193,1))/12)&gt;Assumptions!O$222,MIN(((Assumptions!$D$95*IF(Assumptions!O$206=2027,1+Assumptions!$F$193,1))/12),8*Assumptions!O$222)*Assumptions!$C$60+MIN(((Assumptions!$D$95*IF(Assumptions!O$206=2027,1+Assumptions!$F$193,1))/12),4*Assumptions!O$222)*Assumptions!$C$61,0))</f>
        <v>1221.21006630247</v>
      </c>
      <c r="P100" s="65" t="n">
        <f aca="false">P16*(MIN(((Assumptions!$D$95*IF(Assumptions!P$206=2027,1+Assumptions!$F$193,1))/12),Assumptions!P$222)*(Assumptions!$C$56+Assumptions!$C$57)+MAX(0,MIN(((Assumptions!$D$95*IF(Assumptions!P$206=2027,1+Assumptions!$F$193,1))/12),8*Assumptions!P$222)-Assumptions!P$222)*(Assumptions!$C$58+Assumptions!$C$59)+IF(((Assumptions!$D$95*IF(Assumptions!P$206=2027,1+Assumptions!$F$193,1))/12)&gt;Assumptions!P$222,MIN(((Assumptions!$D$95*IF(Assumptions!P$206=2027,1+Assumptions!$F$193,1))/12),8*Assumptions!P$222)*Assumptions!$C$60+MIN(((Assumptions!$D$95*IF(Assumptions!P$206=2027,1+Assumptions!$F$193,1))/12),4*Assumptions!P$222)*Assumptions!$C$61,0))</f>
        <v>1221.54325445669</v>
      </c>
      <c r="Q100" s="65" t="n">
        <f aca="false">Q16*(MIN(((Assumptions!$D$95*IF(Assumptions!Q$206=2027,1+Assumptions!$F$193,1))/12),Assumptions!Q$222)*(Assumptions!$C$56+Assumptions!$C$57)+MAX(0,MIN(((Assumptions!$D$95*IF(Assumptions!Q$206=2027,1+Assumptions!$F$193,1))/12),8*Assumptions!Q$222)-Assumptions!Q$222)*(Assumptions!$C$58+Assumptions!$C$59)+IF(((Assumptions!$D$95*IF(Assumptions!Q$206=2027,1+Assumptions!$F$193,1))/12)&gt;Assumptions!Q$222,MIN(((Assumptions!$D$95*IF(Assumptions!Q$206=2027,1+Assumptions!$F$193,1))/12),8*Assumptions!Q$222)*Assumptions!$C$60+MIN(((Assumptions!$D$95*IF(Assumptions!Q$206=2027,1+Assumptions!$F$193,1))/12),4*Assumptions!Q$222)*Assumptions!$C$61,0))</f>
        <v>1261.49788198053</v>
      </c>
      <c r="R100" s="65" t="n">
        <f aca="false">R16*(MIN(((Assumptions!$D$95*IF(Assumptions!R$206=2027,1+Assumptions!$F$193,1))/12),Assumptions!R$222)*(Assumptions!$C$56+Assumptions!$C$57)+MAX(0,MIN(((Assumptions!$D$95*IF(Assumptions!R$206=2027,1+Assumptions!$F$193,1))/12),8*Assumptions!R$222)-Assumptions!R$222)*(Assumptions!$C$58+Assumptions!$C$59)+IF(((Assumptions!$D$95*IF(Assumptions!R$206=2027,1+Assumptions!$F$193,1))/12)&gt;Assumptions!R$222,MIN(((Assumptions!$D$95*IF(Assumptions!R$206=2027,1+Assumptions!$F$193,1))/12),8*Assumptions!R$222)*Assumptions!$C$60+MIN(((Assumptions!$D$95*IF(Assumptions!R$206=2027,1+Assumptions!$F$193,1))/12),4*Assumptions!R$222)*Assumptions!$C$61,0))</f>
        <v>1261.49244219885</v>
      </c>
      <c r="S100" s="65" t="n">
        <f aca="false">S16*(MIN(((Assumptions!$D$95*IF(Assumptions!S$206=2027,1+Assumptions!$F$193,1))/12),Assumptions!S$222)*(Assumptions!$C$56+Assumptions!$C$57)+MAX(0,MIN(((Assumptions!$D$95*IF(Assumptions!S$206=2027,1+Assumptions!$F$193,1))/12),8*Assumptions!S$222)-Assumptions!S$222)*(Assumptions!$C$58+Assumptions!$C$59)+IF(((Assumptions!$D$95*IF(Assumptions!S$206=2027,1+Assumptions!$F$193,1))/12)&gt;Assumptions!S$222,MIN(((Assumptions!$D$95*IF(Assumptions!S$206=2027,1+Assumptions!$F$193,1))/12),8*Assumptions!S$222)*Assumptions!$C$60+MIN(((Assumptions!$D$95*IF(Assumptions!S$206=2027,1+Assumptions!$F$193,1))/12),4*Assumptions!S$222)*Assumptions!$C$61,0))</f>
        <v>1261.49282793034</v>
      </c>
      <c r="T100" s="65" t="n">
        <f aca="false">T16*(MIN(((Assumptions!$D$95*IF(Assumptions!T$206=2027,1+Assumptions!$F$193,1))/12),Assumptions!T$222)*(Assumptions!$C$56+Assumptions!$C$57)+MAX(0,MIN(((Assumptions!$D$95*IF(Assumptions!T$206=2027,1+Assumptions!$F$193,1))/12),8*Assumptions!T$222)-Assumptions!T$222)*(Assumptions!$C$58+Assumptions!$C$59)+IF(((Assumptions!$D$95*IF(Assumptions!T$206=2027,1+Assumptions!$F$193,1))/12)&gt;Assumptions!T$222,MIN(((Assumptions!$D$95*IF(Assumptions!T$206=2027,1+Assumptions!$F$193,1))/12),8*Assumptions!T$222)*Assumptions!$C$60+MIN(((Assumptions!$D$95*IF(Assumptions!T$206=2027,1+Assumptions!$F$193,1))/12),4*Assumptions!T$222)*Assumptions!$C$61,0))</f>
        <v>1261.49291216451</v>
      </c>
      <c r="U100" s="65" t="n">
        <f aca="false">U16*(MIN(((Assumptions!$D$95*IF(Assumptions!U$206=2027,1+Assumptions!$F$193,1))/12),Assumptions!U$222)*(Assumptions!$C$56+Assumptions!$C$57)+MAX(0,MIN(((Assumptions!$D$95*IF(Assumptions!U$206=2027,1+Assumptions!$F$193,1))/12),8*Assumptions!U$222)-Assumptions!U$222)*(Assumptions!$C$58+Assumptions!$C$59)+IF(((Assumptions!$D$95*IF(Assumptions!U$206=2027,1+Assumptions!$F$193,1))/12)&gt;Assumptions!U$222,MIN(((Assumptions!$D$95*IF(Assumptions!U$206=2027,1+Assumptions!$F$193,1))/12),8*Assumptions!U$222)*Assumptions!$C$60+MIN(((Assumptions!$D$95*IF(Assumptions!U$206=2027,1+Assumptions!$F$193,1))/12),4*Assumptions!U$222)*Assumptions!$C$61,0))</f>
        <v>1261.49290433175</v>
      </c>
      <c r="V100" s="65" t="n">
        <f aca="false">V16*(MIN(((Assumptions!$D$95*IF(Assumptions!V$206=2027,1+Assumptions!$F$193,1))/12),Assumptions!V$222)*(Assumptions!$C$56+Assumptions!$C$57)+MAX(0,MIN(((Assumptions!$D$95*IF(Assumptions!V$206=2027,1+Assumptions!$F$193,1))/12),8*Assumptions!V$222)-Assumptions!V$222)*(Assumptions!$C$58+Assumptions!$C$59)+IF(((Assumptions!$D$95*IF(Assumptions!V$206=2027,1+Assumptions!$F$193,1))/12)&gt;Assumptions!V$222,MIN(((Assumptions!$D$95*IF(Assumptions!V$206=2027,1+Assumptions!$F$193,1))/12),8*Assumptions!V$222)*Assumptions!$C$60+MIN(((Assumptions!$D$95*IF(Assumptions!V$206=2027,1+Assumptions!$F$193,1))/12),4*Assumptions!V$222)*Assumptions!$C$61,0))</f>
        <v>1261.4929030584</v>
      </c>
      <c r="W100" s="65" t="n">
        <f aca="false">W16*(MIN(((Assumptions!$D$95*IF(Assumptions!W$206=2027,1+Assumptions!$F$193,1))/12),Assumptions!W$222)*(Assumptions!$C$56+Assumptions!$C$57)+MAX(0,MIN(((Assumptions!$D$95*IF(Assumptions!W$206=2027,1+Assumptions!$F$193,1))/12),8*Assumptions!W$222)-Assumptions!W$222)*(Assumptions!$C$58+Assumptions!$C$59)+IF(((Assumptions!$D$95*IF(Assumptions!W$206=2027,1+Assumptions!$F$193,1))/12)&gt;Assumptions!W$222,MIN(((Assumptions!$D$95*IF(Assumptions!W$206=2027,1+Assumptions!$F$193,1))/12),8*Assumptions!W$222)*Assumptions!$C$60+MIN(((Assumptions!$D$95*IF(Assumptions!W$206=2027,1+Assumptions!$F$193,1))/12),4*Assumptions!W$222)*Assumptions!$C$61,0))</f>
        <v>1261.49290321016</v>
      </c>
      <c r="X100" s="65" t="n">
        <f aca="false">X16*(MIN(((Assumptions!$D$95*IF(Assumptions!X$206=2027,1+Assumptions!$F$193,1))/12),Assumptions!X$222)*(Assumptions!$C$56+Assumptions!$C$57)+MAX(0,MIN(((Assumptions!$D$95*IF(Assumptions!X$206=2027,1+Assumptions!$F$193,1))/12),8*Assumptions!X$222)-Assumptions!X$222)*(Assumptions!$C$58+Assumptions!$C$59)+IF(((Assumptions!$D$95*IF(Assumptions!X$206=2027,1+Assumptions!$F$193,1))/12)&gt;Assumptions!X$222,MIN(((Assumptions!$D$95*IF(Assumptions!X$206=2027,1+Assumptions!$F$193,1))/12),8*Assumptions!X$222)*Assumptions!$C$60+MIN(((Assumptions!$D$95*IF(Assumptions!X$206=2027,1+Assumptions!$F$193,1))/12),4*Assumptions!X$222)*Assumptions!$C$61,0))</f>
        <v>1261.49290322886</v>
      </c>
      <c r="Y100" s="65" t="n">
        <f aca="false">Y16*(MIN(((Assumptions!$D$95*IF(Assumptions!Y$206=2027,1+Assumptions!$F$193,1))/12),Assumptions!Y$222)*(Assumptions!$C$56+Assumptions!$C$57)+MAX(0,MIN(((Assumptions!$D$95*IF(Assumptions!Y$206=2027,1+Assumptions!$F$193,1))/12),8*Assumptions!Y$222)-Assumptions!Y$222)*(Assumptions!$C$58+Assumptions!$C$59)+IF(((Assumptions!$D$95*IF(Assumptions!Y$206=2027,1+Assumptions!$F$193,1))/12)&gt;Assumptions!Y$222,MIN(((Assumptions!$D$95*IF(Assumptions!Y$206=2027,1+Assumptions!$F$193,1))/12),8*Assumptions!Y$222)*Assumptions!$C$60+MIN(((Assumptions!$D$95*IF(Assumptions!Y$206=2027,1+Assumptions!$F$193,1))/12),4*Assumptions!Y$222)*Assumptions!$C$61,0))</f>
        <v>1261.49290322602</v>
      </c>
      <c r="Z100" s="65" t="n">
        <f aca="false">Z16*(MIN(((Assumptions!$D$95*IF(Assumptions!Z$206=2027,1+Assumptions!$F$193,1))/12),Assumptions!Z$222)*(Assumptions!$C$56+Assumptions!$C$57)+MAX(0,MIN(((Assumptions!$D$95*IF(Assumptions!Z$206=2027,1+Assumptions!$F$193,1))/12),8*Assumptions!Z$222)-Assumptions!Z$222)*(Assumptions!$C$58+Assumptions!$C$59)+IF(((Assumptions!$D$95*IF(Assumptions!Z$206=2027,1+Assumptions!$F$193,1))/12)&gt;Assumptions!Z$222,MIN(((Assumptions!$D$95*IF(Assumptions!Z$206=2027,1+Assumptions!$F$193,1))/12),8*Assumptions!Z$222)*Assumptions!$C$60+MIN(((Assumptions!$D$95*IF(Assumptions!Z$206=2027,1+Assumptions!$F$193,1))/12),4*Assumptions!Z$222)*Assumptions!$C$61,0))</f>
        <v>1261.49290322575</v>
      </c>
      <c r="AA100" s="65" t="n">
        <f aca="false">AA16*(MIN(((Assumptions!$D$95*IF(Assumptions!AA$206=2027,1+Assumptions!$F$193,1))/12),Assumptions!AA$222)*(Assumptions!$C$56+Assumptions!$C$57)+MAX(0,MIN(((Assumptions!$D$95*IF(Assumptions!AA$206=2027,1+Assumptions!$F$193,1))/12),8*Assumptions!AA$222)-Assumptions!AA$222)*(Assumptions!$C$58+Assumptions!$C$59)+IF(((Assumptions!$D$95*IF(Assumptions!AA$206=2027,1+Assumptions!$F$193,1))/12)&gt;Assumptions!AA$222,MIN(((Assumptions!$D$95*IF(Assumptions!AA$206=2027,1+Assumptions!$F$193,1))/12),8*Assumptions!AA$222)*Assumptions!$C$60+MIN(((Assumptions!$D$95*IF(Assumptions!AA$206=2027,1+Assumptions!$F$193,1))/12),4*Assumptions!AA$222)*Assumptions!$C$61,0))</f>
        <v>1261.4929032258</v>
      </c>
      <c r="AB100" s="65" t="n">
        <f aca="false">AB16*(MIN(((Assumptions!$D$95*IF(Assumptions!AB$206=2027,1+Assumptions!$F$193,1))/12),Assumptions!AB$222)*(Assumptions!$C$56+Assumptions!$C$57)+MAX(0,MIN(((Assumptions!$D$95*IF(Assumptions!AB$206=2027,1+Assumptions!$F$193,1))/12),8*Assumptions!AB$222)-Assumptions!AB$222)*(Assumptions!$C$58+Assumptions!$C$59)+IF(((Assumptions!$D$95*IF(Assumptions!AB$206=2027,1+Assumptions!$F$193,1))/12)&gt;Assumptions!AB$222,MIN(((Assumptions!$D$95*IF(Assumptions!AB$206=2027,1+Assumptions!$F$193,1))/12),8*Assumptions!AB$222)*Assumptions!$C$60+MIN(((Assumptions!$D$95*IF(Assumptions!AB$206=2027,1+Assumptions!$F$193,1))/12),4*Assumptions!AB$222)*Assumptions!$C$61,0))</f>
        <v>1261.49290322581</v>
      </c>
    </row>
    <row r="101" customFormat="false" ht="15" hidden="false" customHeight="false" outlineLevel="0" collapsed="false">
      <c r="A101" s="28" t="s">
        <v>1187</v>
      </c>
      <c r="B101" s="62" t="s">
        <v>1179</v>
      </c>
      <c r="C101" s="64" t="n">
        <f aca="false">SUM(E101:P101)</f>
        <v>43053.9321025549</v>
      </c>
      <c r="D101" s="64" t="n">
        <f aca="false">SUM(Q101:AB101)</f>
        <v>57332.931724189</v>
      </c>
      <c r="E101" s="65" t="n">
        <f aca="false">E17*(MIN(((Assumptions!$D$96*IF(Assumptions!E$206=2027,1+Assumptions!$F$193,1))/12),Assumptions!E$222)*(Assumptions!$C$56+Assumptions!$C$57)+MAX(0,MIN(((Assumptions!$D$96*IF(Assumptions!E$206=2027,1+Assumptions!$F$193,1))/12),8*Assumptions!E$222)-Assumptions!E$222)*(Assumptions!$C$58+Assumptions!$C$59)+IF(((Assumptions!$D$96*IF(Assumptions!E$206=2027,1+Assumptions!$F$193,1))/12)&gt;Assumptions!E$222,MIN(((Assumptions!$D$96*IF(Assumptions!E$206=2027,1+Assumptions!$F$193,1))/12),8*Assumptions!E$222)*Assumptions!$C$60+MIN(((Assumptions!$D$96*IF(Assumptions!E$206=2027,1+Assumptions!$F$193,1))/12),4*Assumptions!E$222)*Assumptions!$C$61,0))</f>
        <v>2977.59333333333</v>
      </c>
      <c r="F101" s="65" t="n">
        <f aca="false">F17*(MIN(((Assumptions!$D$96*IF(Assumptions!F$206=2027,1+Assumptions!$F$193,1))/12),Assumptions!F$222)*(Assumptions!$C$56+Assumptions!$C$57)+MAX(0,MIN(((Assumptions!$D$96*IF(Assumptions!F$206=2027,1+Assumptions!$F$193,1))/12),8*Assumptions!F$222)-Assumptions!F$222)*(Assumptions!$C$58+Assumptions!$C$59)+IF(((Assumptions!$D$96*IF(Assumptions!F$206=2027,1+Assumptions!$F$193,1))/12)&gt;Assumptions!F$222,MIN(((Assumptions!$D$96*IF(Assumptions!F$206=2027,1+Assumptions!$F$193,1))/12),8*Assumptions!F$222)*Assumptions!$C$60+MIN(((Assumptions!$D$96*IF(Assumptions!F$206=2027,1+Assumptions!$F$193,1))/12),4*Assumptions!F$222)*Assumptions!$C$61,0))</f>
        <v>3573.112</v>
      </c>
      <c r="G101" s="65" t="n">
        <f aca="false">G17*(MIN(((Assumptions!$D$96*IF(Assumptions!G$206=2027,1+Assumptions!$F$193,1))/12),Assumptions!G$222)*(Assumptions!$C$56+Assumptions!$C$57)+MAX(0,MIN(((Assumptions!$D$96*IF(Assumptions!G$206=2027,1+Assumptions!$F$193,1))/12),8*Assumptions!G$222)-Assumptions!G$222)*(Assumptions!$C$58+Assumptions!$C$59)+IF(((Assumptions!$D$96*IF(Assumptions!G$206=2027,1+Assumptions!$F$193,1))/12)&gt;Assumptions!G$222,MIN(((Assumptions!$D$96*IF(Assumptions!G$206=2027,1+Assumptions!$F$193,1))/12),8*Assumptions!G$222)*Assumptions!$C$60+MIN(((Assumptions!$D$96*IF(Assumptions!G$206=2027,1+Assumptions!$F$193,1))/12),4*Assumptions!G$222)*Assumptions!$C$61,0))</f>
        <v>3573.112</v>
      </c>
      <c r="H101" s="65" t="n">
        <f aca="false">H17*(MIN(((Assumptions!$D$96*IF(Assumptions!H$206=2027,1+Assumptions!$F$193,1))/12),Assumptions!H$222)*(Assumptions!$C$56+Assumptions!$C$57)+MAX(0,MIN(((Assumptions!$D$96*IF(Assumptions!H$206=2027,1+Assumptions!$F$193,1))/12),8*Assumptions!H$222)-Assumptions!H$222)*(Assumptions!$C$58+Assumptions!$C$59)+IF(((Assumptions!$D$96*IF(Assumptions!H$206=2027,1+Assumptions!$F$193,1))/12)&gt;Assumptions!H$222,MIN(((Assumptions!$D$96*IF(Assumptions!H$206=2027,1+Assumptions!$F$193,1))/12),8*Assumptions!H$222)*Assumptions!$C$60+MIN(((Assumptions!$D$96*IF(Assumptions!H$206=2027,1+Assumptions!$F$193,1))/12),4*Assumptions!H$222)*Assumptions!$C$61,0))</f>
        <v>3573.112</v>
      </c>
      <c r="I101" s="65" t="n">
        <f aca="false">I17*(MIN(((Assumptions!$D$96*IF(Assumptions!I$206=2027,1+Assumptions!$F$193,1))/12),Assumptions!I$222)*(Assumptions!$C$56+Assumptions!$C$57)+MAX(0,MIN(((Assumptions!$D$96*IF(Assumptions!I$206=2027,1+Assumptions!$F$193,1))/12),8*Assumptions!I$222)-Assumptions!I$222)*(Assumptions!$C$58+Assumptions!$C$59)+IF(((Assumptions!$D$96*IF(Assumptions!I$206=2027,1+Assumptions!$F$193,1))/12)&gt;Assumptions!I$222,MIN(((Assumptions!$D$96*IF(Assumptions!I$206=2027,1+Assumptions!$F$193,1))/12),8*Assumptions!I$222)*Assumptions!$C$60+MIN(((Assumptions!$D$96*IF(Assumptions!I$206=2027,1+Assumptions!$F$193,1))/12),4*Assumptions!I$222)*Assumptions!$C$61,0))</f>
        <v>3573.112</v>
      </c>
      <c r="J101" s="65" t="n">
        <f aca="false">J17*(MIN(((Assumptions!$D$96*IF(Assumptions!J$206=2027,1+Assumptions!$F$193,1))/12),Assumptions!J$222)*(Assumptions!$C$56+Assumptions!$C$57)+MAX(0,MIN(((Assumptions!$D$96*IF(Assumptions!J$206=2027,1+Assumptions!$F$193,1))/12),8*Assumptions!J$222)-Assumptions!J$222)*(Assumptions!$C$58+Assumptions!$C$59)+IF(((Assumptions!$D$96*IF(Assumptions!J$206=2027,1+Assumptions!$F$193,1))/12)&gt;Assumptions!J$222,MIN(((Assumptions!$D$96*IF(Assumptions!J$206=2027,1+Assumptions!$F$193,1))/12),8*Assumptions!J$222)*Assumptions!$C$60+MIN(((Assumptions!$D$96*IF(Assumptions!J$206=2027,1+Assumptions!$F$193,1))/12),4*Assumptions!J$222)*Assumptions!$C$61,0))</f>
        <v>3573.112</v>
      </c>
      <c r="K101" s="65" t="n">
        <f aca="false">K17*(MIN(((Assumptions!$D$96*IF(Assumptions!K$206=2027,1+Assumptions!$F$193,1))/12),Assumptions!K$222)*(Assumptions!$C$56+Assumptions!$C$57)+MAX(0,MIN(((Assumptions!$D$96*IF(Assumptions!K$206=2027,1+Assumptions!$F$193,1))/12),8*Assumptions!K$222)-Assumptions!K$222)*(Assumptions!$C$58+Assumptions!$C$59)+IF(((Assumptions!$D$96*IF(Assumptions!K$206=2027,1+Assumptions!$F$193,1))/12)&gt;Assumptions!K$222,MIN(((Assumptions!$D$96*IF(Assumptions!K$206=2027,1+Assumptions!$F$193,1))/12),8*Assumptions!K$222)*Assumptions!$C$60+MIN(((Assumptions!$D$96*IF(Assumptions!K$206=2027,1+Assumptions!$F$193,1))/12),4*Assumptions!K$222)*Assumptions!$C$61,0))</f>
        <v>3573.112</v>
      </c>
      <c r="L101" s="65" t="n">
        <f aca="false">L17*(MIN(((Assumptions!$D$96*IF(Assumptions!L$206=2027,1+Assumptions!$F$193,1))/12),Assumptions!L$222)*(Assumptions!$C$56+Assumptions!$C$57)+MAX(0,MIN(((Assumptions!$D$96*IF(Assumptions!L$206=2027,1+Assumptions!$F$193,1))/12),8*Assumptions!L$222)-Assumptions!L$222)*(Assumptions!$C$58+Assumptions!$C$59)+IF(((Assumptions!$D$96*IF(Assumptions!L$206=2027,1+Assumptions!$F$193,1))/12)&gt;Assumptions!L$222,MIN(((Assumptions!$D$96*IF(Assumptions!L$206=2027,1+Assumptions!$F$193,1))/12),8*Assumptions!L$222)*Assumptions!$C$60+MIN(((Assumptions!$D$96*IF(Assumptions!L$206=2027,1+Assumptions!$F$193,1))/12),4*Assumptions!L$222)*Assumptions!$C$61,0))</f>
        <v>3573.112</v>
      </c>
      <c r="M101" s="65" t="n">
        <f aca="false">M17*(MIN(((Assumptions!$D$96*IF(Assumptions!M$206=2027,1+Assumptions!$F$193,1))/12),Assumptions!M$222)*(Assumptions!$C$56+Assumptions!$C$57)+MAX(0,MIN(((Assumptions!$D$96*IF(Assumptions!M$206=2027,1+Assumptions!$F$193,1))/12),8*Assumptions!M$222)-Assumptions!M$222)*(Assumptions!$C$58+Assumptions!$C$59)+IF(((Assumptions!$D$96*IF(Assumptions!M$206=2027,1+Assumptions!$F$193,1))/12)&gt;Assumptions!M$222,MIN(((Assumptions!$D$96*IF(Assumptions!M$206=2027,1+Assumptions!$F$193,1))/12),8*Assumptions!M$222)*Assumptions!$C$60+MIN(((Assumptions!$D$96*IF(Assumptions!M$206=2027,1+Assumptions!$F$193,1))/12),4*Assumptions!M$222)*Assumptions!$C$61,0))</f>
        <v>3513.56013333333</v>
      </c>
      <c r="N101" s="65" t="n">
        <f aca="false">N17*(MIN(((Assumptions!$D$96*IF(Assumptions!N$206=2027,1+Assumptions!$F$193,1))/12),Assumptions!N$222)*(Assumptions!$C$56+Assumptions!$C$57)+MAX(0,MIN(((Assumptions!$D$96*IF(Assumptions!N$206=2027,1+Assumptions!$F$193,1))/12),8*Assumptions!N$222)-Assumptions!N$222)*(Assumptions!$C$58+Assumptions!$C$59)+IF(((Assumptions!$D$96*IF(Assumptions!N$206=2027,1+Assumptions!$F$193,1))/12)&gt;Assumptions!N$222,MIN(((Assumptions!$D$96*IF(Assumptions!N$206=2027,1+Assumptions!$F$193,1))/12),8*Assumptions!N$222)*Assumptions!$C$60+MIN(((Assumptions!$D$96*IF(Assumptions!N$206=2027,1+Assumptions!$F$193,1))/12),4*Assumptions!N$222)*Assumptions!$C$61,0))</f>
        <v>3455.00079777778</v>
      </c>
      <c r="O101" s="65" t="n">
        <f aca="false">O17*(MIN(((Assumptions!$D$96*IF(Assumptions!O$206=2027,1+Assumptions!$F$193,1))/12),Assumptions!O$222)*(Assumptions!$C$56+Assumptions!$C$57)+MAX(0,MIN(((Assumptions!$D$96*IF(Assumptions!O$206=2027,1+Assumptions!$F$193,1))/12),8*Assumptions!O$222)-Assumptions!O$222)*(Assumptions!$C$58+Assumptions!$C$59)+IF(((Assumptions!$D$96*IF(Assumptions!O$206=2027,1+Assumptions!$F$193,1))/12)&gt;Assumptions!O$222,MIN(((Assumptions!$D$96*IF(Assumptions!O$206=2027,1+Assumptions!$F$193,1))/12),8*Assumptions!O$222)*Assumptions!$C$60+MIN(((Assumptions!$D$96*IF(Assumptions!O$206=2027,1+Assumptions!$F$193,1))/12),4*Assumptions!O$222)*Assumptions!$C$61,0))</f>
        <v>4052.48798448148</v>
      </c>
      <c r="P101" s="65" t="n">
        <f aca="false">P17*(MIN(((Assumptions!$D$96*IF(Assumptions!P$206=2027,1+Assumptions!$F$193,1))/12),Assumptions!P$222)*(Assumptions!$C$56+Assumptions!$C$57)+MAX(0,MIN(((Assumptions!$D$96*IF(Assumptions!P$206=2027,1+Assumptions!$F$193,1))/12),8*Assumptions!P$222)-Assumptions!P$222)*(Assumptions!$C$58+Assumptions!$C$59)+IF(((Assumptions!$D$96*IF(Assumptions!P$206=2027,1+Assumptions!$F$193,1))/12)&gt;Assumptions!P$222,MIN(((Assumptions!$D$96*IF(Assumptions!P$206=2027,1+Assumptions!$F$193,1))/12),8*Assumptions!P$222)*Assumptions!$C$60+MIN(((Assumptions!$D$96*IF(Assumptions!P$206=2027,1+Assumptions!$F$193,1))/12),4*Assumptions!P$222)*Assumptions!$C$61,0))</f>
        <v>4043.50585362901</v>
      </c>
      <c r="Q101" s="65" t="n">
        <f aca="false">Q17*(MIN(((Assumptions!$D$96*IF(Assumptions!Q$206=2027,1+Assumptions!$F$193,1))/12),Assumptions!Q$222)*(Assumptions!$C$56+Assumptions!$C$57)+MAX(0,MIN(((Assumptions!$D$96*IF(Assumptions!Q$206=2027,1+Assumptions!$F$193,1))/12),8*Assumptions!Q$222)-Assumptions!Q$222)*(Assumptions!$C$58+Assumptions!$C$59)+IF(((Assumptions!$D$96*IF(Assumptions!Q$206=2027,1+Assumptions!$F$193,1))/12)&gt;Assumptions!Q$222,MIN(((Assumptions!$D$96*IF(Assumptions!Q$206=2027,1+Assumptions!$F$193,1))/12),8*Assumptions!Q$222)*Assumptions!$C$60+MIN(((Assumptions!$D$96*IF(Assumptions!Q$206=2027,1+Assumptions!$F$193,1))/12),4*Assumptions!Q$222)*Assumptions!$C$61,0))</f>
        <v>4794.8085830449</v>
      </c>
      <c r="R101" s="65" t="n">
        <f aca="false">R17*(MIN(((Assumptions!$D$96*IF(Assumptions!R$206=2027,1+Assumptions!$F$193,1))/12),Assumptions!R$222)*(Assumptions!$C$56+Assumptions!$C$57)+MAX(0,MIN(((Assumptions!$D$96*IF(Assumptions!R$206=2027,1+Assumptions!$F$193,1))/12),8*Assumptions!R$222)-Assumptions!R$222)*(Assumptions!$C$58+Assumptions!$C$59)+IF(((Assumptions!$D$96*IF(Assumptions!R$206=2027,1+Assumptions!$F$193,1))/12)&gt;Assumptions!R$222,MIN(((Assumptions!$D$96*IF(Assumptions!R$206=2027,1+Assumptions!$F$193,1))/12),8*Assumptions!R$222)*Assumptions!$C$60+MIN(((Assumptions!$D$96*IF(Assumptions!R$206=2027,1+Assumptions!$F$193,1))/12),4*Assumptions!R$222)*Assumptions!$C$61,0))</f>
        <v>4784.85261040662</v>
      </c>
      <c r="S101" s="65" t="n">
        <f aca="false">S17*(MIN(((Assumptions!$D$96*IF(Assumptions!S$206=2027,1+Assumptions!$F$193,1))/12),Assumptions!S$222)*(Assumptions!$C$56+Assumptions!$C$57)+MAX(0,MIN(((Assumptions!$D$96*IF(Assumptions!S$206=2027,1+Assumptions!$F$193,1))/12),8*Assumptions!S$222)-Assumptions!S$222)*(Assumptions!$C$58+Assumptions!$C$59)+IF(((Assumptions!$D$96*IF(Assumptions!S$206=2027,1+Assumptions!$F$193,1))/12)&gt;Assumptions!S$222,MIN(((Assumptions!$D$96*IF(Assumptions!S$206=2027,1+Assumptions!$F$193,1))/12),8*Assumptions!S$222)*Assumptions!$C$60+MIN(((Assumptions!$D$96*IF(Assumptions!S$206=2027,1+Assumptions!$F$193,1))/12),4*Assumptions!S$222)*Assumptions!$C$61,0))</f>
        <v>4774.90751344248</v>
      </c>
      <c r="T101" s="65" t="n">
        <f aca="false">T17*(MIN(((Assumptions!$D$96*IF(Assumptions!T$206=2027,1+Assumptions!$F$193,1))/12),Assumptions!T$222)*(Assumptions!$C$56+Assumptions!$C$57)+MAX(0,MIN(((Assumptions!$D$96*IF(Assumptions!T$206=2027,1+Assumptions!$F$193,1))/12),8*Assumptions!T$222)-Assumptions!T$222)*(Assumptions!$C$58+Assumptions!$C$59)+IF(((Assumptions!$D$96*IF(Assumptions!T$206=2027,1+Assumptions!$F$193,1))/12)&gt;Assumptions!T$222,MIN(((Assumptions!$D$96*IF(Assumptions!T$206=2027,1+Assumptions!$F$193,1))/12),8*Assumptions!T$222)*Assumptions!$C$60+MIN(((Assumptions!$D$96*IF(Assumptions!T$206=2027,1+Assumptions!$F$193,1))/12),4*Assumptions!T$222)*Assumptions!$C$61,0))</f>
        <v>4775.23919793585</v>
      </c>
      <c r="U101" s="65" t="n">
        <f aca="false">U17*(MIN(((Assumptions!$D$96*IF(Assumptions!U$206=2027,1+Assumptions!$F$193,1))/12),Assumptions!U$222)*(Assumptions!$C$56+Assumptions!$C$57)+MAX(0,MIN(((Assumptions!$D$96*IF(Assumptions!U$206=2027,1+Assumptions!$F$193,1))/12),8*Assumptions!U$222)-Assumptions!U$222)*(Assumptions!$C$58+Assumptions!$C$59)+IF(((Assumptions!$D$96*IF(Assumptions!U$206=2027,1+Assumptions!$F$193,1))/12)&gt;Assumptions!U$222,MIN(((Assumptions!$D$96*IF(Assumptions!U$206=2027,1+Assumptions!$F$193,1))/12),8*Assumptions!U$222)*Assumptions!$C$60+MIN(((Assumptions!$D$96*IF(Assumptions!U$206=2027,1+Assumptions!$F$193,1))/12),4*Assumptions!U$222)*Assumptions!$C$61,0))</f>
        <v>4775.39942147703</v>
      </c>
      <c r="V101" s="65" t="n">
        <f aca="false">V17*(MIN(((Assumptions!$D$96*IF(Assumptions!V$206=2027,1+Assumptions!$F$193,1))/12),Assumptions!V$222)*(Assumptions!$C$56+Assumptions!$C$57)+MAX(0,MIN(((Assumptions!$D$96*IF(Assumptions!V$206=2027,1+Assumptions!$F$193,1))/12),8*Assumptions!V$222)-Assumptions!V$222)*(Assumptions!$C$58+Assumptions!$C$59)+IF(((Assumptions!$D$96*IF(Assumptions!V$206=2027,1+Assumptions!$F$193,1))/12)&gt;Assumptions!V$222,MIN(((Assumptions!$D$96*IF(Assumptions!V$206=2027,1+Assumptions!$F$193,1))/12),8*Assumptions!V$222)*Assumptions!$C$60+MIN(((Assumptions!$D$96*IF(Assumptions!V$206=2027,1+Assumptions!$F$193,1))/12),4*Assumptions!V$222)*Assumptions!$C$61,0))</f>
        <v>4775.39122300979</v>
      </c>
      <c r="W101" s="65" t="n">
        <f aca="false">W17*(MIN(((Assumptions!$D$96*IF(Assumptions!W$206=2027,1+Assumptions!$F$193,1))/12),Assumptions!W$222)*(Assumptions!$C$56+Assumptions!$C$57)+MAX(0,MIN(((Assumptions!$D$96*IF(Assumptions!W$206=2027,1+Assumptions!$F$193,1))/12),8*Assumptions!W$222)-Assumptions!W$222)*(Assumptions!$C$58+Assumptions!$C$59)+IF(((Assumptions!$D$96*IF(Assumptions!W$206=2027,1+Assumptions!$F$193,1))/12)&gt;Assumptions!W$222,MIN(((Assumptions!$D$96*IF(Assumptions!W$206=2027,1+Assumptions!$F$193,1))/12),8*Assumptions!W$222)*Assumptions!$C$60+MIN(((Assumptions!$D$96*IF(Assumptions!W$206=2027,1+Assumptions!$F$193,1))/12),4*Assumptions!W$222)*Assumptions!$C$61,0))</f>
        <v>4775.38868925855</v>
      </c>
      <c r="X101" s="65" t="n">
        <f aca="false">X17*(MIN(((Assumptions!$D$96*IF(Assumptions!X$206=2027,1+Assumptions!$F$193,1))/12),Assumptions!X$222)*(Assumptions!$C$56+Assumptions!$C$57)+MAX(0,MIN(((Assumptions!$D$96*IF(Assumptions!X$206=2027,1+Assumptions!$F$193,1))/12),8*Assumptions!X$222)-Assumptions!X$222)*(Assumptions!$C$58+Assumptions!$C$59)+IF(((Assumptions!$D$96*IF(Assumptions!X$206=2027,1+Assumptions!$F$193,1))/12)&gt;Assumptions!X$222,MIN(((Assumptions!$D$96*IF(Assumptions!X$206=2027,1+Assumptions!$F$193,1))/12),8*Assumptions!X$222)*Assumptions!$C$60+MIN(((Assumptions!$D$96*IF(Assumptions!X$206=2027,1+Assumptions!$F$193,1))/12),4*Assumptions!X$222)*Assumptions!$C$61,0))</f>
        <v>4775.38886812886</v>
      </c>
      <c r="Y101" s="65" t="n">
        <f aca="false">Y17*(MIN(((Assumptions!$D$96*IF(Assumptions!Y$206=2027,1+Assumptions!$F$193,1))/12),Assumptions!Y$222)*(Assumptions!$C$56+Assumptions!$C$57)+MAX(0,MIN(((Assumptions!$D$96*IF(Assumptions!Y$206=2027,1+Assumptions!$F$193,1))/12),8*Assumptions!Y$222)-Assumptions!Y$222)*(Assumptions!$C$58+Assumptions!$C$59)+IF(((Assumptions!$D$96*IF(Assumptions!Y$206=2027,1+Assumptions!$F$193,1))/12)&gt;Assumptions!Y$222,MIN(((Assumptions!$D$96*IF(Assumptions!Y$206=2027,1+Assumptions!$F$193,1))/12),8*Assumptions!Y$222)*Assumptions!$C$60+MIN(((Assumptions!$D$96*IF(Assumptions!Y$206=2027,1+Assumptions!$F$193,1))/12),4*Assumptions!Y$222)*Assumptions!$C$61,0))</f>
        <v>4775.38890737688</v>
      </c>
      <c r="Z101" s="65" t="n">
        <f aca="false">Z17*(MIN(((Assumptions!$D$96*IF(Assumptions!Z$206=2027,1+Assumptions!$F$193,1))/12),Assumptions!Z$222)*(Assumptions!$C$56+Assumptions!$C$57)+MAX(0,MIN(((Assumptions!$D$96*IF(Assumptions!Z$206=2027,1+Assumptions!$F$193,1))/12),8*Assumptions!Z$222)-Assumptions!Z$222)*(Assumptions!$C$58+Assumptions!$C$59)+IF(((Assumptions!$D$96*IF(Assumptions!Z$206=2027,1+Assumptions!$F$193,1))/12)&gt;Assumptions!Z$222,MIN(((Assumptions!$D$96*IF(Assumptions!Z$206=2027,1+Assumptions!$F$193,1))/12),8*Assumptions!Z$222)*Assumptions!$C$60+MIN(((Assumptions!$D$96*IF(Assumptions!Z$206=2027,1+Assumptions!$F$193,1))/12),4*Assumptions!Z$222)*Assumptions!$C$61,0))</f>
        <v>4775.38890374157</v>
      </c>
      <c r="AA101" s="65" t="n">
        <f aca="false">AA17*(MIN(((Assumptions!$D$96*IF(Assumptions!AA$206=2027,1+Assumptions!$F$193,1))/12),Assumptions!AA$222)*(Assumptions!$C$56+Assumptions!$C$57)+MAX(0,MIN(((Assumptions!$D$96*IF(Assumptions!AA$206=2027,1+Assumptions!$F$193,1))/12),8*Assumptions!AA$222)-Assumptions!AA$222)*(Assumptions!$C$58+Assumptions!$C$59)+IF(((Assumptions!$D$96*IF(Assumptions!AA$206=2027,1+Assumptions!$F$193,1))/12)&gt;Assumptions!AA$222,MIN(((Assumptions!$D$96*IF(Assumptions!AA$206=2027,1+Assumptions!$F$193,1))/12),8*Assumptions!AA$222)*Assumptions!$C$60+MIN(((Assumptions!$D$96*IF(Assumptions!AA$206=2027,1+Assumptions!$F$193,1))/12),4*Assumptions!AA$222)*Assumptions!$C$61,0))</f>
        <v>4775.38890314803</v>
      </c>
      <c r="AB101" s="65" t="n">
        <f aca="false">AB17*(MIN(((Assumptions!$D$96*IF(Assumptions!AB$206=2027,1+Assumptions!$F$193,1))/12),Assumptions!AB$222)*(Assumptions!$C$56+Assumptions!$C$57)+MAX(0,MIN(((Assumptions!$D$96*IF(Assumptions!AB$206=2027,1+Assumptions!$F$193,1))/12),8*Assumptions!AB$222)-Assumptions!AB$222)*(Assumptions!$C$58+Assumptions!$C$59)+IF(((Assumptions!$D$96*IF(Assumptions!AB$206=2027,1+Assumptions!$F$193,1))/12)&gt;Assumptions!AB$222,MIN(((Assumptions!$D$96*IF(Assumptions!AB$206=2027,1+Assumptions!$F$193,1))/12),8*Assumptions!AB$222)*Assumptions!$C$60+MIN(((Assumptions!$D$96*IF(Assumptions!AB$206=2027,1+Assumptions!$F$193,1))/12),4*Assumptions!AB$222)*Assumptions!$C$61,0))</f>
        <v>4775.38890321851</v>
      </c>
    </row>
    <row r="102" customFormat="false" ht="15" hidden="false" customHeight="false" outlineLevel="0" collapsed="false">
      <c r="A102" s="28" t="s">
        <v>1188</v>
      </c>
      <c r="B102" s="62" t="s">
        <v>1179</v>
      </c>
      <c r="C102" s="64" t="n">
        <f aca="false">SUM(E102:P102)</f>
        <v>8345.20502322531</v>
      </c>
      <c r="D102" s="64" t="n">
        <f aca="false">SUM(Q102:AB102)</f>
        <v>8995.58374788763</v>
      </c>
      <c r="E102" s="65" t="n">
        <f aca="false">E18*(MIN(((Assumptions!$D$97*IF(Assumptions!E$206=2027,1+Assumptions!$F$193,1))/12),Assumptions!E$222)*(Assumptions!$C$56+Assumptions!$C$57)+MAX(0,MIN(((Assumptions!$D$97*IF(Assumptions!E$206=2027,1+Assumptions!$F$193,1))/12),8*Assumptions!E$222)-Assumptions!E$222)*(Assumptions!$C$58+Assumptions!$C$59)+IF(((Assumptions!$D$97*IF(Assumptions!E$206=2027,1+Assumptions!$F$193,1))/12)&gt;Assumptions!E$222,MIN(((Assumptions!$D$97*IF(Assumptions!E$206=2027,1+Assumptions!$F$193,1))/12),8*Assumptions!E$222)*Assumptions!$C$60+MIN(((Assumptions!$D$97*IF(Assumptions!E$206=2027,1+Assumptions!$F$193,1))/12),4*Assumptions!E$222)*Assumptions!$C$61,0))</f>
        <v>801.333333333333</v>
      </c>
      <c r="F102" s="65" t="n">
        <f aca="false">F18*(MIN(((Assumptions!$D$97*IF(Assumptions!F$206=2027,1+Assumptions!$F$193,1))/12),Assumptions!F$222)*(Assumptions!$C$56+Assumptions!$C$57)+MAX(0,MIN(((Assumptions!$D$97*IF(Assumptions!F$206=2027,1+Assumptions!$F$193,1))/12),8*Assumptions!F$222)-Assumptions!F$222)*(Assumptions!$C$58+Assumptions!$C$59)+IF(((Assumptions!$D$97*IF(Assumptions!F$206=2027,1+Assumptions!$F$193,1))/12)&gt;Assumptions!F$222,MIN(((Assumptions!$D$97*IF(Assumptions!F$206=2027,1+Assumptions!$F$193,1))/12),8*Assumptions!F$222)*Assumptions!$C$60+MIN(((Assumptions!$D$97*IF(Assumptions!F$206=2027,1+Assumptions!$F$193,1))/12),4*Assumptions!F$222)*Assumptions!$C$61,0))</f>
        <v>801.333333333333</v>
      </c>
      <c r="G102" s="65" t="n">
        <f aca="false">G18*(MIN(((Assumptions!$D$97*IF(Assumptions!G$206=2027,1+Assumptions!$F$193,1))/12),Assumptions!G$222)*(Assumptions!$C$56+Assumptions!$C$57)+MAX(0,MIN(((Assumptions!$D$97*IF(Assumptions!G$206=2027,1+Assumptions!$F$193,1))/12),8*Assumptions!G$222)-Assumptions!G$222)*(Assumptions!$C$58+Assumptions!$C$59)+IF(((Assumptions!$D$97*IF(Assumptions!G$206=2027,1+Assumptions!$F$193,1))/12)&gt;Assumptions!G$222,MIN(((Assumptions!$D$97*IF(Assumptions!G$206=2027,1+Assumptions!$F$193,1))/12),8*Assumptions!G$222)*Assumptions!$C$60+MIN(((Assumptions!$D$97*IF(Assumptions!G$206=2027,1+Assumptions!$F$193,1))/12),4*Assumptions!G$222)*Assumptions!$C$61,0))</f>
        <v>801.333333333333</v>
      </c>
      <c r="H102" s="65" t="n">
        <f aca="false">H18*(MIN(((Assumptions!$D$97*IF(Assumptions!H$206=2027,1+Assumptions!$F$193,1))/12),Assumptions!H$222)*(Assumptions!$C$56+Assumptions!$C$57)+MAX(0,MIN(((Assumptions!$D$97*IF(Assumptions!H$206=2027,1+Assumptions!$F$193,1))/12),8*Assumptions!H$222)-Assumptions!H$222)*(Assumptions!$C$58+Assumptions!$C$59)+IF(((Assumptions!$D$97*IF(Assumptions!H$206=2027,1+Assumptions!$F$193,1))/12)&gt;Assumptions!H$222,MIN(((Assumptions!$D$97*IF(Assumptions!H$206=2027,1+Assumptions!$F$193,1))/12),8*Assumptions!H$222)*Assumptions!$C$60+MIN(((Assumptions!$D$97*IF(Assumptions!H$206=2027,1+Assumptions!$F$193,1))/12),4*Assumptions!H$222)*Assumptions!$C$61,0))</f>
        <v>801.333333333333</v>
      </c>
      <c r="I102" s="65" t="n">
        <f aca="false">I18*(MIN(((Assumptions!$D$97*IF(Assumptions!I$206=2027,1+Assumptions!$F$193,1))/12),Assumptions!I$222)*(Assumptions!$C$56+Assumptions!$C$57)+MAX(0,MIN(((Assumptions!$D$97*IF(Assumptions!I$206=2027,1+Assumptions!$F$193,1))/12),8*Assumptions!I$222)-Assumptions!I$222)*(Assumptions!$C$58+Assumptions!$C$59)+IF(((Assumptions!$D$97*IF(Assumptions!I$206=2027,1+Assumptions!$F$193,1))/12)&gt;Assumptions!I$222,MIN(((Assumptions!$D$97*IF(Assumptions!I$206=2027,1+Assumptions!$F$193,1))/12),8*Assumptions!I$222)*Assumptions!$C$60+MIN(((Assumptions!$D$97*IF(Assumptions!I$206=2027,1+Assumptions!$F$193,1))/12),4*Assumptions!I$222)*Assumptions!$C$61,0))</f>
        <v>801.333333333333</v>
      </c>
      <c r="J102" s="65" t="n">
        <f aca="false">J18*(MIN(((Assumptions!$D$97*IF(Assumptions!J$206=2027,1+Assumptions!$F$193,1))/12),Assumptions!J$222)*(Assumptions!$C$56+Assumptions!$C$57)+MAX(0,MIN(((Assumptions!$D$97*IF(Assumptions!J$206=2027,1+Assumptions!$F$193,1))/12),8*Assumptions!J$222)-Assumptions!J$222)*(Assumptions!$C$58+Assumptions!$C$59)+IF(((Assumptions!$D$97*IF(Assumptions!J$206=2027,1+Assumptions!$F$193,1))/12)&gt;Assumptions!J$222,MIN(((Assumptions!$D$97*IF(Assumptions!J$206=2027,1+Assumptions!$F$193,1))/12),8*Assumptions!J$222)*Assumptions!$C$60+MIN(((Assumptions!$D$97*IF(Assumptions!J$206=2027,1+Assumptions!$F$193,1))/12),4*Assumptions!J$222)*Assumptions!$C$61,0))</f>
        <v>801.333333333333</v>
      </c>
      <c r="K102" s="65" t="n">
        <f aca="false">K18*(MIN(((Assumptions!$D$97*IF(Assumptions!K$206=2027,1+Assumptions!$F$193,1))/12),Assumptions!K$222)*(Assumptions!$C$56+Assumptions!$C$57)+MAX(0,MIN(((Assumptions!$D$97*IF(Assumptions!K$206=2027,1+Assumptions!$F$193,1))/12),8*Assumptions!K$222)-Assumptions!K$222)*(Assumptions!$C$58+Assumptions!$C$59)+IF(((Assumptions!$D$97*IF(Assumptions!K$206=2027,1+Assumptions!$F$193,1))/12)&gt;Assumptions!K$222,MIN(((Assumptions!$D$97*IF(Assumptions!K$206=2027,1+Assumptions!$F$193,1))/12),8*Assumptions!K$222)*Assumptions!$C$60+MIN(((Assumptions!$D$97*IF(Assumptions!K$206=2027,1+Assumptions!$F$193,1))/12),4*Assumptions!K$222)*Assumptions!$C$61,0))</f>
        <v>601</v>
      </c>
      <c r="L102" s="65" t="n">
        <f aca="false">L18*(MIN(((Assumptions!$D$97*IF(Assumptions!L$206=2027,1+Assumptions!$F$193,1))/12),Assumptions!L$222)*(Assumptions!$C$56+Assumptions!$C$57)+MAX(0,MIN(((Assumptions!$D$97*IF(Assumptions!L$206=2027,1+Assumptions!$F$193,1))/12),8*Assumptions!L$222)-Assumptions!L$222)*(Assumptions!$C$58+Assumptions!$C$59)+IF(((Assumptions!$D$97*IF(Assumptions!L$206=2027,1+Assumptions!$F$193,1))/12)&gt;Assumptions!L$222,MIN(((Assumptions!$D$97*IF(Assumptions!L$206=2027,1+Assumptions!$F$193,1))/12),8*Assumptions!L$222)*Assumptions!$C$60+MIN(((Assumptions!$D$97*IF(Assumptions!L$206=2027,1+Assumptions!$F$193,1))/12),4*Assumptions!L$222)*Assumptions!$C$61,0))</f>
        <v>601</v>
      </c>
      <c r="M102" s="65" t="n">
        <f aca="false">M18*(MIN(((Assumptions!$D$97*IF(Assumptions!M$206=2027,1+Assumptions!$F$193,1))/12),Assumptions!M$222)*(Assumptions!$C$56+Assumptions!$C$57)+MAX(0,MIN(((Assumptions!$D$97*IF(Assumptions!M$206=2027,1+Assumptions!$F$193,1))/12),8*Assumptions!M$222)-Assumptions!M$222)*(Assumptions!$C$58+Assumptions!$C$59)+IF(((Assumptions!$D$97*IF(Assumptions!M$206=2027,1+Assumptions!$F$193,1))/12)&gt;Assumptions!M$222,MIN(((Assumptions!$D$97*IF(Assumptions!M$206=2027,1+Assumptions!$F$193,1))/12),8*Assumptions!M$222)*Assumptions!$C$60+MIN(((Assumptions!$D$97*IF(Assumptions!M$206=2027,1+Assumptions!$F$193,1))/12),4*Assumptions!M$222)*Assumptions!$C$61,0))</f>
        <v>590.983333333333</v>
      </c>
      <c r="N102" s="65" t="n">
        <f aca="false">N18*(MIN(((Assumptions!$D$97*IF(Assumptions!N$206=2027,1+Assumptions!$F$193,1))/12),Assumptions!N$222)*(Assumptions!$C$56+Assumptions!$C$57)+MAX(0,MIN(((Assumptions!$D$97*IF(Assumptions!N$206=2027,1+Assumptions!$F$193,1))/12),8*Assumptions!N$222)-Assumptions!N$222)*(Assumptions!$C$58+Assumptions!$C$59)+IF(((Assumptions!$D$97*IF(Assumptions!N$206=2027,1+Assumptions!$F$193,1))/12)&gt;Assumptions!N$222,MIN(((Assumptions!$D$97*IF(Assumptions!N$206=2027,1+Assumptions!$F$193,1))/12),8*Assumptions!N$222)*Assumptions!$C$60+MIN(((Assumptions!$D$97*IF(Assumptions!N$206=2027,1+Assumptions!$F$193,1))/12),4*Assumptions!N$222)*Assumptions!$C$61,0))</f>
        <v>581.133611111111</v>
      </c>
      <c r="O102" s="65" t="n">
        <f aca="false">O18*(MIN(((Assumptions!$D$97*IF(Assumptions!O$206=2027,1+Assumptions!$F$193,1))/12),Assumptions!O$222)*(Assumptions!$C$56+Assumptions!$C$57)+MAX(0,MIN(((Assumptions!$D$97*IF(Assumptions!O$206=2027,1+Assumptions!$F$193,1))/12),8*Assumptions!O$222)-Assumptions!O$222)*(Assumptions!$C$58+Assumptions!$C$59)+IF(((Assumptions!$D$97*IF(Assumptions!O$206=2027,1+Assumptions!$F$193,1))/12)&gt;Assumptions!O$222,MIN(((Assumptions!$D$97*IF(Assumptions!O$206=2027,1+Assumptions!$F$193,1))/12),8*Assumptions!O$222)*Assumptions!$C$60+MIN(((Assumptions!$D$97*IF(Assumptions!O$206=2027,1+Assumptions!$F$193,1))/12),4*Assumptions!O$222)*Assumptions!$C$61,0))</f>
        <v>581.464717592593</v>
      </c>
      <c r="P102" s="65" t="n">
        <f aca="false">P18*(MIN(((Assumptions!$D$97*IF(Assumptions!P$206=2027,1+Assumptions!$F$193,1))/12),Assumptions!P$222)*(Assumptions!$C$56+Assumptions!$C$57)+MAX(0,MIN(((Assumptions!$D$97*IF(Assumptions!P$206=2027,1+Assumptions!$F$193,1))/12),8*Assumptions!P$222)-Assumptions!P$222)*(Assumptions!$C$58+Assumptions!$C$59)+IF(((Assumptions!$D$97*IF(Assumptions!P$206=2027,1+Assumptions!$F$193,1))/12)&gt;Assumptions!P$222,MIN(((Assumptions!$D$97*IF(Assumptions!P$206=2027,1+Assumptions!$F$193,1))/12),8*Assumptions!P$222)*Assumptions!$C$60+MIN(((Assumptions!$D$97*IF(Assumptions!P$206=2027,1+Assumptions!$F$193,1))/12),4*Assumptions!P$222)*Assumptions!$C$61,0))</f>
        <v>581.623361188272</v>
      </c>
      <c r="Q102" s="65" t="n">
        <f aca="false">Q18*(MIN(((Assumptions!$D$97*IF(Assumptions!Q$206=2027,1+Assumptions!$F$193,1))/12),Assumptions!Q$222)*(Assumptions!$C$56+Assumptions!$C$57)+MAX(0,MIN(((Assumptions!$D$97*IF(Assumptions!Q$206=2027,1+Assumptions!$F$193,1))/12),8*Assumptions!Q$222)-Assumptions!Q$222)*(Assumptions!$C$58+Assumptions!$C$59)+IF(((Assumptions!$D$97*IF(Assumptions!Q$206=2027,1+Assumptions!$F$193,1))/12)&gt;Assumptions!Q$222,MIN(((Assumptions!$D$97*IF(Assumptions!Q$206=2027,1+Assumptions!$F$193,1))/12),8*Assumptions!Q$222)*Assumptions!$C$60+MIN(((Assumptions!$D$97*IF(Assumptions!Q$206=2027,1+Assumptions!$F$193,1))/12),4*Assumptions!Q$222)*Assumptions!$C$61,0))</f>
        <v>599.063654647595</v>
      </c>
      <c r="R102" s="65" t="n">
        <f aca="false">R18*(MIN(((Assumptions!$D$97*IF(Assumptions!R$206=2027,1+Assumptions!$F$193,1))/12),Assumptions!R$222)*(Assumptions!$C$56+Assumptions!$C$57)+MAX(0,MIN(((Assumptions!$D$97*IF(Assumptions!R$206=2027,1+Assumptions!$F$193,1))/12),8*Assumptions!R$222)-Assumptions!R$222)*(Assumptions!$C$58+Assumptions!$C$59)+IF(((Assumptions!$D$97*IF(Assumptions!R$206=2027,1+Assumptions!$F$193,1))/12)&gt;Assumptions!R$222,MIN(((Assumptions!$D$97*IF(Assumptions!R$206=2027,1+Assumptions!$F$193,1))/12),8*Assumptions!R$222)*Assumptions!$C$60+MIN(((Assumptions!$D$97*IF(Assumptions!R$206=2027,1+Assumptions!$F$193,1))/12),4*Assumptions!R$222)*Assumptions!$C$61,0))</f>
        <v>599.061071388808</v>
      </c>
      <c r="S102" s="65" t="n">
        <f aca="false">S18*(MIN(((Assumptions!$D$97*IF(Assumptions!S$206=2027,1+Assumptions!$F$193,1))/12),Assumptions!S$222)*(Assumptions!$C$56+Assumptions!$C$57)+MAX(0,MIN(((Assumptions!$D$97*IF(Assumptions!S$206=2027,1+Assumptions!$F$193,1))/12),8*Assumptions!S$222)-Assumptions!S$222)*(Assumptions!$C$58+Assumptions!$C$59)+IF(((Assumptions!$D$97*IF(Assumptions!S$206=2027,1+Assumptions!$F$193,1))/12)&gt;Assumptions!S$222,MIN(((Assumptions!$D$97*IF(Assumptions!S$206=2027,1+Assumptions!$F$193,1))/12),8*Assumptions!S$222)*Assumptions!$C$60+MIN(((Assumptions!$D$97*IF(Assumptions!S$206=2027,1+Assumptions!$F$193,1))/12),4*Assumptions!S$222)*Assumptions!$C$61,0))</f>
        <v>599.06125456606</v>
      </c>
      <c r="T102" s="65" t="n">
        <f aca="false">T18*(MIN(((Assumptions!$D$97*IF(Assumptions!T$206=2027,1+Assumptions!$F$193,1))/12),Assumptions!T$222)*(Assumptions!$C$56+Assumptions!$C$57)+MAX(0,MIN(((Assumptions!$D$97*IF(Assumptions!T$206=2027,1+Assumptions!$F$193,1))/12),8*Assumptions!T$222)-Assumptions!T$222)*(Assumptions!$C$58+Assumptions!$C$59)+IF(((Assumptions!$D$97*IF(Assumptions!T$206=2027,1+Assumptions!$F$193,1))/12)&gt;Assumptions!T$222,MIN(((Assumptions!$D$97*IF(Assumptions!T$206=2027,1+Assumptions!$F$193,1))/12),8*Assumptions!T$222)*Assumptions!$C$60+MIN(((Assumptions!$D$97*IF(Assumptions!T$206=2027,1+Assumptions!$F$193,1))/12),4*Assumptions!T$222)*Assumptions!$C$61,0))</f>
        <v>805.404627900752</v>
      </c>
      <c r="U102" s="65" t="n">
        <f aca="false">U18*(MIN(((Assumptions!$D$97*IF(Assumptions!U$206=2027,1+Assumptions!$F$193,1))/12),Assumptions!U$222)*(Assumptions!$C$56+Assumptions!$C$57)+MAX(0,MIN(((Assumptions!$D$97*IF(Assumptions!U$206=2027,1+Assumptions!$F$193,1))/12),8*Assumptions!U$222)-Assumptions!U$222)*(Assumptions!$C$58+Assumptions!$C$59)+IF(((Assumptions!$D$97*IF(Assumptions!U$206=2027,1+Assumptions!$F$193,1))/12)&gt;Assumptions!U$222,MIN(((Assumptions!$D$97*IF(Assumptions!U$206=2027,1+Assumptions!$F$193,1))/12),8*Assumptions!U$222)*Assumptions!$C$60+MIN(((Assumptions!$D$97*IF(Assumptions!U$206=2027,1+Assumptions!$F$193,1))/12),4*Assumptions!U$222)*Assumptions!$C$61,0))</f>
        <v>801.965568625553</v>
      </c>
      <c r="V102" s="65" t="n">
        <f aca="false">V18*(MIN(((Assumptions!$D$97*IF(Assumptions!V$206=2027,1+Assumptions!$F$193,1))/12),Assumptions!V$222)*(Assumptions!$C$56+Assumptions!$C$57)+MAX(0,MIN(((Assumptions!$D$97*IF(Assumptions!V$206=2027,1+Assumptions!$F$193,1))/12),8*Assumptions!V$222)-Assumptions!V$222)*(Assumptions!$C$58+Assumptions!$C$59)+IF(((Assumptions!$D$97*IF(Assumptions!V$206=2027,1+Assumptions!$F$193,1))/12)&gt;Assumptions!V$222,MIN(((Assumptions!$D$97*IF(Assumptions!V$206=2027,1+Assumptions!$F$193,1))/12),8*Assumptions!V$222)*Assumptions!$C$60+MIN(((Assumptions!$D$97*IF(Assumptions!V$206=2027,1+Assumptions!$F$193,1))/12),4*Assumptions!V$222)*Assumptions!$C$61,0))</f>
        <v>798.583830057895</v>
      </c>
      <c r="W102" s="65" t="n">
        <f aca="false">W18*(MIN(((Assumptions!$D$97*IF(Assumptions!W$206=2027,1+Assumptions!$F$193,1))/12),Assumptions!W$222)*(Assumptions!$C$56+Assumptions!$C$57)+MAX(0,MIN(((Assumptions!$D$97*IF(Assumptions!W$206=2027,1+Assumptions!$F$193,1))/12),8*Assumptions!W$222)-Assumptions!W$222)*(Assumptions!$C$58+Assumptions!$C$59)+IF(((Assumptions!$D$97*IF(Assumptions!W$206=2027,1+Assumptions!$F$193,1))/12)&gt;Assumptions!W$222,MIN(((Assumptions!$D$97*IF(Assumptions!W$206=2027,1+Assumptions!$F$193,1))/12),8*Assumptions!W$222)*Assumptions!$C$60+MIN(((Assumptions!$D$97*IF(Assumptions!W$206=2027,1+Assumptions!$F$193,1))/12),4*Assumptions!W$222)*Assumptions!$C$61,0))</f>
        <v>798.697510021943</v>
      </c>
      <c r="X102" s="65" t="n">
        <f aca="false">X18*(MIN(((Assumptions!$D$97*IF(Assumptions!X$206=2027,1+Assumptions!$F$193,1))/12),Assumptions!X$222)*(Assumptions!$C$56+Assumptions!$C$57)+MAX(0,MIN(((Assumptions!$D$97*IF(Assumptions!X$206=2027,1+Assumptions!$F$193,1))/12),8*Assumptions!X$222)-Assumptions!X$222)*(Assumptions!$C$58+Assumptions!$C$59)+IF(((Assumptions!$D$97*IF(Assumptions!X$206=2027,1+Assumptions!$F$193,1))/12)&gt;Assumptions!X$222,MIN(((Assumptions!$D$97*IF(Assumptions!X$206=2027,1+Assumptions!$F$193,1))/12),8*Assumptions!X$222)*Assumptions!$C$60+MIN(((Assumptions!$D$97*IF(Assumptions!X$206=2027,1+Assumptions!$F$193,1))/12),4*Assumptions!X$222)*Assumptions!$C$61,0))</f>
        <v>798.751977665336</v>
      </c>
      <c r="Y102" s="65" t="n">
        <f aca="false">Y18*(MIN(((Assumptions!$D$97*IF(Assumptions!Y$206=2027,1+Assumptions!$F$193,1))/12),Assumptions!Y$222)*(Assumptions!$C$56+Assumptions!$C$57)+MAX(0,MIN(((Assumptions!$D$97*IF(Assumptions!Y$206=2027,1+Assumptions!$F$193,1))/12),8*Assumptions!Y$222)-Assumptions!Y$222)*(Assumptions!$C$58+Assumptions!$C$59)+IF(((Assumptions!$D$97*IF(Assumptions!Y$206=2027,1+Assumptions!$F$193,1))/12)&gt;Assumptions!Y$222,MIN(((Assumptions!$D$97*IF(Assumptions!Y$206=2027,1+Assumptions!$F$193,1))/12),8*Assumptions!Y$222)*Assumptions!$C$60+MIN(((Assumptions!$D$97*IF(Assumptions!Y$206=2027,1+Assumptions!$F$193,1))/12),4*Assumptions!Y$222)*Assumptions!$C$61,0))</f>
        <v>798.749175205212</v>
      </c>
      <c r="Z102" s="65" t="n">
        <f aca="false">Z18*(MIN(((Assumptions!$D$97*IF(Assumptions!Z$206=2027,1+Assumptions!$F$193,1))/12),Assumptions!Z$222)*(Assumptions!$C$56+Assumptions!$C$57)+MAX(0,MIN(((Assumptions!$D$97*IF(Assumptions!Z$206=2027,1+Assumptions!$F$193,1))/12),8*Assumptions!Z$222)-Assumptions!Z$222)*(Assumptions!$C$58+Assumptions!$C$59)+IF(((Assumptions!$D$97*IF(Assumptions!Z$206=2027,1+Assumptions!$F$193,1))/12)&gt;Assumptions!Z$222,MIN(((Assumptions!$D$97*IF(Assumptions!Z$206=2027,1+Assumptions!$F$193,1))/12),8*Assumptions!Z$222)*Assumptions!$C$60+MIN(((Assumptions!$D$97*IF(Assumptions!Z$206=2027,1+Assumptions!$F$193,1))/12),4*Assumptions!Z$222)*Assumptions!$C$61,0))</f>
        <v>798.748314118824</v>
      </c>
      <c r="AA102" s="65" t="n">
        <f aca="false">AA18*(MIN(((Assumptions!$D$97*IF(Assumptions!AA$206=2027,1+Assumptions!$F$193,1))/12),Assumptions!AA$222)*(Assumptions!$C$56+Assumptions!$C$57)+MAX(0,MIN(((Assumptions!$D$97*IF(Assumptions!AA$206=2027,1+Assumptions!$F$193,1))/12),8*Assumptions!AA$222)-Assumptions!AA$222)*(Assumptions!$C$58+Assumptions!$C$59)+IF(((Assumptions!$D$97*IF(Assumptions!AA$206=2027,1+Assumptions!$F$193,1))/12)&gt;Assumptions!AA$222,MIN(((Assumptions!$D$97*IF(Assumptions!AA$206=2027,1+Assumptions!$F$193,1))/12),8*Assumptions!AA$222)*Assumptions!$C$60+MIN(((Assumptions!$D$97*IF(Assumptions!AA$206=2027,1+Assumptions!$F$193,1))/12),4*Assumptions!AA$222)*Assumptions!$C$61,0))</f>
        <v>798.748375177933</v>
      </c>
      <c r="AB102" s="65" t="n">
        <f aca="false">AB18*(MIN(((Assumptions!$D$97*IF(Assumptions!AB$206=2027,1+Assumptions!$F$193,1))/12),Assumptions!AB$222)*(Assumptions!$C$56+Assumptions!$C$57)+MAX(0,MIN(((Assumptions!$D$97*IF(Assumptions!AB$206=2027,1+Assumptions!$F$193,1))/12),8*Assumptions!AB$222)-Assumptions!AB$222)*(Assumptions!$C$58+Assumptions!$C$59)+IF(((Assumptions!$D$97*IF(Assumptions!AB$206=2027,1+Assumptions!$F$193,1))/12)&gt;Assumptions!AB$222,MIN(((Assumptions!$D$97*IF(Assumptions!AB$206=2027,1+Assumptions!$F$193,1))/12),8*Assumptions!AB$222)*Assumptions!$C$60+MIN(((Assumptions!$D$97*IF(Assumptions!AB$206=2027,1+Assumptions!$F$193,1))/12),4*Assumptions!AB$222)*Assumptions!$C$61,0))</f>
        <v>798.748388511721</v>
      </c>
    </row>
    <row r="103" customFormat="false" ht="15" hidden="false" customHeight="false" outlineLevel="0" collapsed="false">
      <c r="A103" s="28" t="s">
        <v>1189</v>
      </c>
      <c r="B103" s="62" t="s">
        <v>1179</v>
      </c>
      <c r="C103" s="64" t="n">
        <f aca="false">SUM(E103:P103)</f>
        <v>21063.2425923143</v>
      </c>
      <c r="D103" s="64" t="n">
        <f aca="false">SUM(Q103:AB103)</f>
        <v>26671.6078109372</v>
      </c>
      <c r="E103" s="65" t="n">
        <f aca="false">E19*(MIN(((Assumptions!$D$98*IF(Assumptions!E$206=2027,1+Assumptions!$F$193,1))/12),Assumptions!E$222)*(Assumptions!$C$56+Assumptions!$C$57)+MAX(0,MIN(((Assumptions!$D$98*IF(Assumptions!E$206=2027,1+Assumptions!$F$193,1))/12),8*Assumptions!E$222)-Assumptions!E$222)*(Assumptions!$C$58+Assumptions!$C$59)+IF(((Assumptions!$D$98*IF(Assumptions!E$206=2027,1+Assumptions!$F$193,1))/12)&gt;Assumptions!E$222,MIN(((Assumptions!$D$98*IF(Assumptions!E$206=2027,1+Assumptions!$F$193,1))/12),8*Assumptions!E$222)*Assumptions!$C$60+MIN(((Assumptions!$D$98*IF(Assumptions!E$206=2027,1+Assumptions!$F$193,1))/12),4*Assumptions!E$222)*Assumptions!$C$61,0))</f>
        <v>1493.11466666667</v>
      </c>
      <c r="F103" s="65" t="n">
        <f aca="false">F19*(MIN(((Assumptions!$D$98*IF(Assumptions!F$206=2027,1+Assumptions!$F$193,1))/12),Assumptions!F$222)*(Assumptions!$C$56+Assumptions!$C$57)+MAX(0,MIN(((Assumptions!$D$98*IF(Assumptions!F$206=2027,1+Assumptions!$F$193,1))/12),8*Assumptions!F$222)-Assumptions!F$222)*(Assumptions!$C$58+Assumptions!$C$59)+IF(((Assumptions!$D$98*IF(Assumptions!F$206=2027,1+Assumptions!$F$193,1))/12)&gt;Assumptions!F$222,MIN(((Assumptions!$D$98*IF(Assumptions!F$206=2027,1+Assumptions!$F$193,1))/12),8*Assumptions!F$222)*Assumptions!$C$60+MIN(((Assumptions!$D$98*IF(Assumptions!F$206=2027,1+Assumptions!$F$193,1))/12),4*Assumptions!F$222)*Assumptions!$C$61,0))</f>
        <v>1493.11466666667</v>
      </c>
      <c r="G103" s="65" t="n">
        <f aca="false">G19*(MIN(((Assumptions!$D$98*IF(Assumptions!G$206=2027,1+Assumptions!$F$193,1))/12),Assumptions!G$222)*(Assumptions!$C$56+Assumptions!$C$57)+MAX(0,MIN(((Assumptions!$D$98*IF(Assumptions!G$206=2027,1+Assumptions!$F$193,1))/12),8*Assumptions!G$222)-Assumptions!G$222)*(Assumptions!$C$58+Assumptions!$C$59)+IF(((Assumptions!$D$98*IF(Assumptions!G$206=2027,1+Assumptions!$F$193,1))/12)&gt;Assumptions!G$222,MIN(((Assumptions!$D$98*IF(Assumptions!G$206=2027,1+Assumptions!$F$193,1))/12),8*Assumptions!G$222)*Assumptions!$C$60+MIN(((Assumptions!$D$98*IF(Assumptions!G$206=2027,1+Assumptions!$F$193,1))/12),4*Assumptions!G$222)*Assumptions!$C$61,0))</f>
        <v>1493.11466666667</v>
      </c>
      <c r="H103" s="65" t="n">
        <f aca="false">H19*(MIN(((Assumptions!$D$98*IF(Assumptions!H$206=2027,1+Assumptions!$F$193,1))/12),Assumptions!H$222)*(Assumptions!$C$56+Assumptions!$C$57)+MAX(0,MIN(((Assumptions!$D$98*IF(Assumptions!H$206=2027,1+Assumptions!$F$193,1))/12),8*Assumptions!H$222)-Assumptions!H$222)*(Assumptions!$C$58+Assumptions!$C$59)+IF(((Assumptions!$D$98*IF(Assumptions!H$206=2027,1+Assumptions!$F$193,1))/12)&gt;Assumptions!H$222,MIN(((Assumptions!$D$98*IF(Assumptions!H$206=2027,1+Assumptions!$F$193,1))/12),8*Assumptions!H$222)*Assumptions!$C$60+MIN(((Assumptions!$D$98*IF(Assumptions!H$206=2027,1+Assumptions!$F$193,1))/12),4*Assumptions!H$222)*Assumptions!$C$61,0))</f>
        <v>1866.39333333333</v>
      </c>
      <c r="I103" s="65" t="n">
        <f aca="false">I19*(MIN(((Assumptions!$D$98*IF(Assumptions!I$206=2027,1+Assumptions!$F$193,1))/12),Assumptions!I$222)*(Assumptions!$C$56+Assumptions!$C$57)+MAX(0,MIN(((Assumptions!$D$98*IF(Assumptions!I$206=2027,1+Assumptions!$F$193,1))/12),8*Assumptions!I$222)-Assumptions!I$222)*(Assumptions!$C$58+Assumptions!$C$59)+IF(((Assumptions!$D$98*IF(Assumptions!I$206=2027,1+Assumptions!$F$193,1))/12)&gt;Assumptions!I$222,MIN(((Assumptions!$D$98*IF(Assumptions!I$206=2027,1+Assumptions!$F$193,1))/12),8*Assumptions!I$222)*Assumptions!$C$60+MIN(((Assumptions!$D$98*IF(Assumptions!I$206=2027,1+Assumptions!$F$193,1))/12),4*Assumptions!I$222)*Assumptions!$C$61,0))</f>
        <v>1866.39333333333</v>
      </c>
      <c r="J103" s="65" t="n">
        <f aca="false">J19*(MIN(((Assumptions!$D$98*IF(Assumptions!J$206=2027,1+Assumptions!$F$193,1))/12),Assumptions!J$222)*(Assumptions!$C$56+Assumptions!$C$57)+MAX(0,MIN(((Assumptions!$D$98*IF(Assumptions!J$206=2027,1+Assumptions!$F$193,1))/12),8*Assumptions!J$222)-Assumptions!J$222)*(Assumptions!$C$58+Assumptions!$C$59)+IF(((Assumptions!$D$98*IF(Assumptions!J$206=2027,1+Assumptions!$F$193,1))/12)&gt;Assumptions!J$222,MIN(((Assumptions!$D$98*IF(Assumptions!J$206=2027,1+Assumptions!$F$193,1))/12),8*Assumptions!J$222)*Assumptions!$C$60+MIN(((Assumptions!$D$98*IF(Assumptions!J$206=2027,1+Assumptions!$F$193,1))/12),4*Assumptions!J$222)*Assumptions!$C$61,0))</f>
        <v>1866.39333333333</v>
      </c>
      <c r="K103" s="65" t="n">
        <f aca="false">K19*(MIN(((Assumptions!$D$98*IF(Assumptions!K$206=2027,1+Assumptions!$F$193,1))/12),Assumptions!K$222)*(Assumptions!$C$56+Assumptions!$C$57)+MAX(0,MIN(((Assumptions!$D$98*IF(Assumptions!K$206=2027,1+Assumptions!$F$193,1))/12),8*Assumptions!K$222)-Assumptions!K$222)*(Assumptions!$C$58+Assumptions!$C$59)+IF(((Assumptions!$D$98*IF(Assumptions!K$206=2027,1+Assumptions!$F$193,1))/12)&gt;Assumptions!K$222,MIN(((Assumptions!$D$98*IF(Assumptions!K$206=2027,1+Assumptions!$F$193,1))/12),8*Assumptions!K$222)*Assumptions!$C$60+MIN(((Assumptions!$D$98*IF(Assumptions!K$206=2027,1+Assumptions!$F$193,1))/12),4*Assumptions!K$222)*Assumptions!$C$61,0))</f>
        <v>1866.39333333333</v>
      </c>
      <c r="L103" s="65" t="n">
        <f aca="false">L19*(MIN(((Assumptions!$D$98*IF(Assumptions!L$206=2027,1+Assumptions!$F$193,1))/12),Assumptions!L$222)*(Assumptions!$C$56+Assumptions!$C$57)+MAX(0,MIN(((Assumptions!$D$98*IF(Assumptions!L$206=2027,1+Assumptions!$F$193,1))/12),8*Assumptions!L$222)-Assumptions!L$222)*(Assumptions!$C$58+Assumptions!$C$59)+IF(((Assumptions!$D$98*IF(Assumptions!L$206=2027,1+Assumptions!$F$193,1))/12)&gt;Assumptions!L$222,MIN(((Assumptions!$D$98*IF(Assumptions!L$206=2027,1+Assumptions!$F$193,1))/12),8*Assumptions!L$222)*Assumptions!$C$60+MIN(((Assumptions!$D$98*IF(Assumptions!L$206=2027,1+Assumptions!$F$193,1))/12),4*Assumptions!L$222)*Assumptions!$C$61,0))</f>
        <v>1866.39333333333</v>
      </c>
      <c r="M103" s="65" t="n">
        <f aca="false">M19*(MIN(((Assumptions!$D$98*IF(Assumptions!M$206=2027,1+Assumptions!$F$193,1))/12),Assumptions!M$222)*(Assumptions!$C$56+Assumptions!$C$57)+MAX(0,MIN(((Assumptions!$D$98*IF(Assumptions!M$206=2027,1+Assumptions!$F$193,1))/12),8*Assumptions!M$222)-Assumptions!M$222)*(Assumptions!$C$58+Assumptions!$C$59)+IF(((Assumptions!$D$98*IF(Assumptions!M$206=2027,1+Assumptions!$F$193,1))/12)&gt;Assumptions!M$222,MIN(((Assumptions!$D$98*IF(Assumptions!M$206=2027,1+Assumptions!$F$193,1))/12),8*Assumptions!M$222)*Assumptions!$C$60+MIN(((Assumptions!$D$98*IF(Assumptions!M$206=2027,1+Assumptions!$F$193,1))/12),4*Assumptions!M$222)*Assumptions!$C$61,0))</f>
        <v>1835.28677777778</v>
      </c>
      <c r="N103" s="65" t="n">
        <f aca="false">N19*(MIN(((Assumptions!$D$98*IF(Assumptions!N$206=2027,1+Assumptions!$F$193,1))/12),Assumptions!N$222)*(Assumptions!$C$56+Assumptions!$C$57)+MAX(0,MIN(((Assumptions!$D$98*IF(Assumptions!N$206=2027,1+Assumptions!$F$193,1))/12),8*Assumptions!N$222)-Assumptions!N$222)*(Assumptions!$C$58+Assumptions!$C$59)+IF(((Assumptions!$D$98*IF(Assumptions!N$206=2027,1+Assumptions!$F$193,1))/12)&gt;Assumptions!N$222,MIN(((Assumptions!$D$98*IF(Assumptions!N$206=2027,1+Assumptions!$F$193,1))/12),8*Assumptions!N$222)*Assumptions!$C$60+MIN(((Assumptions!$D$98*IF(Assumptions!N$206=2027,1+Assumptions!$F$193,1))/12),4*Assumptions!N$222)*Assumptions!$C$61,0))</f>
        <v>1804.69866481481</v>
      </c>
      <c r="O103" s="65" t="n">
        <f aca="false">O19*(MIN(((Assumptions!$D$98*IF(Assumptions!O$206=2027,1+Assumptions!$F$193,1))/12),Assumptions!O$222)*(Assumptions!$C$56+Assumptions!$C$57)+MAX(0,MIN(((Assumptions!$D$98*IF(Assumptions!O$206=2027,1+Assumptions!$F$193,1))/12),8*Assumptions!O$222)-Assumptions!O$222)*(Assumptions!$C$58+Assumptions!$C$59)+IF(((Assumptions!$D$98*IF(Assumptions!O$206=2027,1+Assumptions!$F$193,1))/12)&gt;Assumptions!O$222,MIN(((Assumptions!$D$98*IF(Assumptions!O$206=2027,1+Assumptions!$F$193,1))/12),8*Assumptions!O$222)*Assumptions!$C$60+MIN(((Assumptions!$D$98*IF(Assumptions!O$206=2027,1+Assumptions!$F$193,1))/12),4*Assumptions!O$222)*Assumptions!$C$61,0))</f>
        <v>1805.72690929012</v>
      </c>
      <c r="P103" s="65" t="n">
        <f aca="false">P19*(MIN(((Assumptions!$D$98*IF(Assumptions!P$206=2027,1+Assumptions!$F$193,1))/12),Assumptions!P$222)*(Assumptions!$C$56+Assumptions!$C$57)+MAX(0,MIN(((Assumptions!$D$98*IF(Assumptions!P$206=2027,1+Assumptions!$F$193,1))/12),8*Assumptions!P$222)-Assumptions!P$222)*(Assumptions!$C$58+Assumptions!$C$59)+IF(((Assumptions!$D$98*IF(Assumptions!P$206=2027,1+Assumptions!$F$193,1))/12)&gt;Assumptions!P$222,MIN(((Assumptions!$D$98*IF(Assumptions!P$206=2027,1+Assumptions!$F$193,1))/12),8*Assumptions!P$222)*Assumptions!$C$60+MIN(((Assumptions!$D$98*IF(Assumptions!P$206=2027,1+Assumptions!$F$193,1))/12),4*Assumptions!P$222)*Assumptions!$C$61,0))</f>
        <v>1806.21957376492</v>
      </c>
      <c r="Q103" s="65" t="n">
        <f aca="false">Q19*(MIN(((Assumptions!$D$98*IF(Assumptions!Q$206=2027,1+Assumptions!$F$193,1))/12),Assumptions!Q$222)*(Assumptions!$C$56+Assumptions!$C$57)+MAX(0,MIN(((Assumptions!$D$98*IF(Assumptions!Q$206=2027,1+Assumptions!$F$193,1))/12),8*Assumptions!Q$222)-Assumptions!Q$222)*(Assumptions!$C$58+Assumptions!$C$59)+IF(((Assumptions!$D$98*IF(Assumptions!Q$206=2027,1+Assumptions!$F$193,1))/12)&gt;Assumptions!Q$222,MIN(((Assumptions!$D$98*IF(Assumptions!Q$206=2027,1+Assumptions!$F$193,1))/12),8*Assumptions!Q$222)*Assumptions!$C$60+MIN(((Assumptions!$D$98*IF(Assumptions!Q$206=2027,1+Assumptions!$F$193,1))/12),4*Assumptions!Q$222)*Assumptions!$C$61,0))</f>
        <v>1877.00998864201</v>
      </c>
      <c r="R103" s="65" t="n">
        <f aca="false">R19*(MIN(((Assumptions!$D$98*IF(Assumptions!R$206=2027,1+Assumptions!$F$193,1))/12),Assumptions!R$222)*(Assumptions!$C$56+Assumptions!$C$57)+MAX(0,MIN(((Assumptions!$D$98*IF(Assumptions!R$206=2027,1+Assumptions!$F$193,1))/12),8*Assumptions!R$222)-Assumptions!R$222)*(Assumptions!$C$58+Assumptions!$C$59)+IF(((Assumptions!$D$98*IF(Assumptions!R$206=2027,1+Assumptions!$F$193,1))/12)&gt;Assumptions!R$222,MIN(((Assumptions!$D$98*IF(Assumptions!R$206=2027,1+Assumptions!$F$193,1))/12),8*Assumptions!R$222)*Assumptions!$C$60+MIN(((Assumptions!$D$98*IF(Assumptions!R$206=2027,1+Assumptions!$F$193,1))/12),4*Assumptions!R$222)*Assumptions!$C$61,0))</f>
        <v>2264.91576133985</v>
      </c>
      <c r="S103" s="65" t="n">
        <f aca="false">S19*(MIN(((Assumptions!$D$98*IF(Assumptions!S$206=2027,1+Assumptions!$F$193,1))/12),Assumptions!S$222)*(Assumptions!$C$56+Assumptions!$C$57)+MAX(0,MIN(((Assumptions!$D$98*IF(Assumptions!S$206=2027,1+Assumptions!$F$193,1))/12),8*Assumptions!S$222)-Assumptions!S$222)*(Assumptions!$C$58+Assumptions!$C$59)+IF(((Assumptions!$D$98*IF(Assumptions!S$206=2027,1+Assumptions!$F$193,1))/12)&gt;Assumptions!S$222,MIN(((Assumptions!$D$98*IF(Assumptions!S$206=2027,1+Assumptions!$F$193,1))/12),8*Assumptions!S$222)*Assumptions!$C$60+MIN(((Assumptions!$D$98*IF(Assumptions!S$206=2027,1+Assumptions!$F$193,1))/12),4*Assumptions!S$222)*Assumptions!$C$61,0))</f>
        <v>2258.45110416697</v>
      </c>
      <c r="T103" s="65" t="n">
        <f aca="false">T19*(MIN(((Assumptions!$D$98*IF(Assumptions!T$206=2027,1+Assumptions!$F$193,1))/12),Assumptions!T$222)*(Assumptions!$C$56+Assumptions!$C$57)+MAX(0,MIN(((Assumptions!$D$98*IF(Assumptions!T$206=2027,1+Assumptions!$F$193,1))/12),8*Assumptions!T$222)-Assumptions!T$222)*(Assumptions!$C$58+Assumptions!$C$59)+IF(((Assumptions!$D$98*IF(Assumptions!T$206=2027,1+Assumptions!$F$193,1))/12)&gt;Assumptions!T$222,MIN(((Assumptions!$D$98*IF(Assumptions!T$206=2027,1+Assumptions!$F$193,1))/12),8*Assumptions!T$222)*Assumptions!$C$60+MIN(((Assumptions!$D$98*IF(Assumptions!T$206=2027,1+Assumptions!$F$193,1))/12),4*Assumptions!T$222)*Assumptions!$C$61,0))</f>
        <v>2252.09375224155</v>
      </c>
      <c r="U103" s="65" t="n">
        <f aca="false">U19*(MIN(((Assumptions!$D$98*IF(Assumptions!U$206=2027,1+Assumptions!$F$193,1))/12),Assumptions!U$222)*(Assumptions!$C$56+Assumptions!$C$57)+MAX(0,MIN(((Assumptions!$D$98*IF(Assumptions!U$206=2027,1+Assumptions!$F$193,1))/12),8*Assumptions!U$222)-Assumptions!U$222)*(Assumptions!$C$58+Assumptions!$C$59)+IF(((Assumptions!$D$98*IF(Assumptions!U$206=2027,1+Assumptions!$F$193,1))/12)&gt;Assumptions!U$222,MIN(((Assumptions!$D$98*IF(Assumptions!U$206=2027,1+Assumptions!$F$193,1))/12),8*Assumptions!U$222)*Assumptions!$C$60+MIN(((Assumptions!$D$98*IF(Assumptions!U$206=2027,1+Assumptions!$F$193,1))/12),4*Assumptions!U$222)*Assumptions!$C$61,0))</f>
        <v>2252.30745239319</v>
      </c>
      <c r="V103" s="65" t="n">
        <f aca="false">V19*(MIN(((Assumptions!$D$98*IF(Assumptions!V$206=2027,1+Assumptions!$F$193,1))/12),Assumptions!V$222)*(Assumptions!$C$56+Assumptions!$C$57)+MAX(0,MIN(((Assumptions!$D$98*IF(Assumptions!V$206=2027,1+Assumptions!$F$193,1))/12),8*Assumptions!V$222)-Assumptions!V$222)*(Assumptions!$C$58+Assumptions!$C$59)+IF(((Assumptions!$D$98*IF(Assumptions!V$206=2027,1+Assumptions!$F$193,1))/12)&gt;Assumptions!V$222,MIN(((Assumptions!$D$98*IF(Assumptions!V$206=2027,1+Assumptions!$F$193,1))/12),8*Assumptions!V$222)*Assumptions!$C$60+MIN(((Assumptions!$D$98*IF(Assumptions!V$206=2027,1+Assumptions!$F$193,1))/12),4*Assumptions!V$222)*Assumptions!$C$61,0))</f>
        <v>2252.40984658942</v>
      </c>
      <c r="W103" s="65" t="n">
        <f aca="false">W19*(MIN(((Assumptions!$D$98*IF(Assumptions!W$206=2027,1+Assumptions!$F$193,1))/12),Assumptions!W$222)*(Assumptions!$C$56+Assumptions!$C$57)+MAX(0,MIN(((Assumptions!$D$98*IF(Assumptions!W$206=2027,1+Assumptions!$F$193,1))/12),8*Assumptions!W$222)-Assumptions!W$222)*(Assumptions!$C$58+Assumptions!$C$59)+IF(((Assumptions!$D$98*IF(Assumptions!W$206=2027,1+Assumptions!$F$193,1))/12)&gt;Assumptions!W$222,MIN(((Assumptions!$D$98*IF(Assumptions!W$206=2027,1+Assumptions!$F$193,1))/12),8*Assumptions!W$222)*Assumptions!$C$60+MIN(((Assumptions!$D$98*IF(Assumptions!W$206=2027,1+Assumptions!$F$193,1))/12),4*Assumptions!W$222)*Assumptions!$C$61,0))</f>
        <v>2252.40457835029</v>
      </c>
      <c r="X103" s="65" t="n">
        <f aca="false">X19*(MIN(((Assumptions!$D$98*IF(Assumptions!X$206=2027,1+Assumptions!$F$193,1))/12),Assumptions!X$222)*(Assumptions!$C$56+Assumptions!$C$57)+MAX(0,MIN(((Assumptions!$D$98*IF(Assumptions!X$206=2027,1+Assumptions!$F$193,1))/12),8*Assumptions!X$222)-Assumptions!X$222)*(Assumptions!$C$58+Assumptions!$C$59)+IF(((Assumptions!$D$98*IF(Assumptions!X$206=2027,1+Assumptions!$F$193,1))/12)&gt;Assumptions!X$222,MIN(((Assumptions!$D$98*IF(Assumptions!X$206=2027,1+Assumptions!$F$193,1))/12),8*Assumptions!X$222)*Assumptions!$C$60+MIN(((Assumptions!$D$98*IF(Assumptions!X$206=2027,1+Assumptions!$F$193,1))/12),4*Assumptions!X$222)*Assumptions!$C$61,0))</f>
        <v>2252.40295958434</v>
      </c>
      <c r="Y103" s="65" t="n">
        <f aca="false">Y19*(MIN(((Assumptions!$D$98*IF(Assumptions!Y$206=2027,1+Assumptions!$F$193,1))/12),Assumptions!Y$222)*(Assumptions!$C$56+Assumptions!$C$57)+MAX(0,MIN(((Assumptions!$D$98*IF(Assumptions!Y$206=2027,1+Assumptions!$F$193,1))/12),8*Assumptions!Y$222)-Assumptions!Y$222)*(Assumptions!$C$58+Assumptions!$C$59)+IF(((Assumptions!$D$98*IF(Assumptions!Y$206=2027,1+Assumptions!$F$193,1))/12)&gt;Assumptions!Y$222,MIN(((Assumptions!$D$98*IF(Assumptions!Y$206=2027,1+Assumptions!$F$193,1))/12),8*Assumptions!Y$222)*Assumptions!$C$60+MIN(((Assumptions!$D$98*IF(Assumptions!Y$206=2027,1+Assumptions!$F$193,1))/12),4*Assumptions!Y$222)*Assumptions!$C$61,0))</f>
        <v>2252.40307436776</v>
      </c>
      <c r="Z103" s="65" t="n">
        <f aca="false">Z19*(MIN(((Assumptions!$D$98*IF(Assumptions!Z$206=2027,1+Assumptions!$F$193,1))/12),Assumptions!Z$222)*(Assumptions!$C$56+Assumptions!$C$57)+MAX(0,MIN(((Assumptions!$D$98*IF(Assumptions!Z$206=2027,1+Assumptions!$F$193,1))/12),8*Assumptions!Z$222)-Assumptions!Z$222)*(Assumptions!$C$58+Assumptions!$C$59)+IF(((Assumptions!$D$98*IF(Assumptions!Z$206=2027,1+Assumptions!$F$193,1))/12)&gt;Assumptions!Z$222,MIN(((Assumptions!$D$98*IF(Assumptions!Z$206=2027,1+Assumptions!$F$193,1))/12),8*Assumptions!Z$222)*Assumptions!$C$60+MIN(((Assumptions!$D$98*IF(Assumptions!Z$206=2027,1+Assumptions!$F$193,1))/12),4*Assumptions!Z$222)*Assumptions!$C$61,0))</f>
        <v>2252.40309943413</v>
      </c>
      <c r="AA103" s="65" t="n">
        <f aca="false">AA19*(MIN(((Assumptions!$D$98*IF(Assumptions!AA$206=2027,1+Assumptions!$F$193,1))/12),Assumptions!AA$222)*(Assumptions!$C$56+Assumptions!$C$57)+MAX(0,MIN(((Assumptions!$D$98*IF(Assumptions!AA$206=2027,1+Assumptions!$F$193,1))/12),8*Assumptions!AA$222)-Assumptions!AA$222)*(Assumptions!$C$58+Assumptions!$C$59)+IF(((Assumptions!$D$98*IF(Assumptions!AA$206=2027,1+Assumptions!$F$193,1))/12)&gt;Assumptions!AA$222,MIN(((Assumptions!$D$98*IF(Assumptions!AA$206=2027,1+Assumptions!$F$193,1))/12),8*Assumptions!AA$222)*Assumptions!$C$60+MIN(((Assumptions!$D$98*IF(Assumptions!AA$206=2027,1+Assumptions!$F$193,1))/12),4*Assumptions!AA$222)*Assumptions!$C$61,0))</f>
        <v>2252.4030971033</v>
      </c>
      <c r="AB103" s="65" t="n">
        <f aca="false">AB19*(MIN(((Assumptions!$D$98*IF(Assumptions!AB$206=2027,1+Assumptions!$F$193,1))/12),Assumptions!AB$222)*(Assumptions!$C$56+Assumptions!$C$57)+MAX(0,MIN(((Assumptions!$D$98*IF(Assumptions!AB$206=2027,1+Assumptions!$F$193,1))/12),8*Assumptions!AB$222)-Assumptions!AB$222)*(Assumptions!$C$58+Assumptions!$C$59)+IF(((Assumptions!$D$98*IF(Assumptions!AB$206=2027,1+Assumptions!$F$193,1))/12)&gt;Assumptions!AB$222,MIN(((Assumptions!$D$98*IF(Assumptions!AB$206=2027,1+Assumptions!$F$193,1))/12),8*Assumptions!AB$222)*Assumptions!$C$60+MIN(((Assumptions!$D$98*IF(Assumptions!AB$206=2027,1+Assumptions!$F$193,1))/12),4*Assumptions!AB$222)*Assumptions!$C$61,0))</f>
        <v>2252.40309672438</v>
      </c>
    </row>
    <row r="104" customFormat="false" ht="15" hidden="false" customHeight="false" outlineLevel="0" collapsed="false">
      <c r="A104" s="28" t="s">
        <v>1190</v>
      </c>
      <c r="B104" s="62" t="s">
        <v>1179</v>
      </c>
      <c r="C104" s="64" t="n">
        <f aca="false">SUM(E104:P104)</f>
        <v>33128.5767923623</v>
      </c>
      <c r="D104" s="64" t="n">
        <f aca="false">SUM(Q104:AB104)</f>
        <v>33885.3165441677</v>
      </c>
      <c r="E104" s="65" t="n">
        <f aca="false">E20*(MIN(((Assumptions!$D$99*IF(Assumptions!E$206=2027,1+Assumptions!$F$193,1))/12),Assumptions!E$222)*(Assumptions!$C$56+Assumptions!$C$57)+MAX(0,MIN(((Assumptions!$D$99*IF(Assumptions!E$206=2027,1+Assumptions!$F$193,1))/12),8*Assumptions!E$222)-Assumptions!E$222)*(Assumptions!$C$58+Assumptions!$C$59)+IF(((Assumptions!$D$99*IF(Assumptions!E$206=2027,1+Assumptions!$F$193,1))/12)&gt;Assumptions!E$222,MIN(((Assumptions!$D$99*IF(Assumptions!E$206=2027,1+Assumptions!$F$193,1))/12),8*Assumptions!E$222)*Assumptions!$C$60+MIN(((Assumptions!$D$99*IF(Assumptions!E$206=2027,1+Assumptions!$F$193,1))/12),4*Assumptions!E$222)*Assumptions!$C$61,0))</f>
        <v>2771.41066666667</v>
      </c>
      <c r="F104" s="65" t="n">
        <f aca="false">F20*(MIN(((Assumptions!$D$99*IF(Assumptions!F$206=2027,1+Assumptions!$F$193,1))/12),Assumptions!F$222)*(Assumptions!$C$56+Assumptions!$C$57)+MAX(0,MIN(((Assumptions!$D$99*IF(Assumptions!F$206=2027,1+Assumptions!$F$193,1))/12),8*Assumptions!F$222)-Assumptions!F$222)*(Assumptions!$C$58+Assumptions!$C$59)+IF(((Assumptions!$D$99*IF(Assumptions!F$206=2027,1+Assumptions!$F$193,1))/12)&gt;Assumptions!F$222,MIN(((Assumptions!$D$99*IF(Assumptions!F$206=2027,1+Assumptions!$F$193,1))/12),8*Assumptions!F$222)*Assumptions!$C$60+MIN(((Assumptions!$D$99*IF(Assumptions!F$206=2027,1+Assumptions!$F$193,1))/12),4*Assumptions!F$222)*Assumptions!$C$61,0))</f>
        <v>2771.41066666667</v>
      </c>
      <c r="G104" s="65" t="n">
        <f aca="false">G20*(MIN(((Assumptions!$D$99*IF(Assumptions!G$206=2027,1+Assumptions!$F$193,1))/12),Assumptions!G$222)*(Assumptions!$C$56+Assumptions!$C$57)+MAX(0,MIN(((Assumptions!$D$99*IF(Assumptions!G$206=2027,1+Assumptions!$F$193,1))/12),8*Assumptions!G$222)-Assumptions!G$222)*(Assumptions!$C$58+Assumptions!$C$59)+IF(((Assumptions!$D$99*IF(Assumptions!G$206=2027,1+Assumptions!$F$193,1))/12)&gt;Assumptions!G$222,MIN(((Assumptions!$D$99*IF(Assumptions!G$206=2027,1+Assumptions!$F$193,1))/12),8*Assumptions!G$222)*Assumptions!$C$60+MIN(((Assumptions!$D$99*IF(Assumptions!G$206=2027,1+Assumptions!$F$193,1))/12),4*Assumptions!G$222)*Assumptions!$C$61,0))</f>
        <v>2771.41066666667</v>
      </c>
      <c r="H104" s="65" t="n">
        <f aca="false">H20*(MIN(((Assumptions!$D$99*IF(Assumptions!H$206=2027,1+Assumptions!$F$193,1))/12),Assumptions!H$222)*(Assumptions!$C$56+Assumptions!$C$57)+MAX(0,MIN(((Assumptions!$D$99*IF(Assumptions!H$206=2027,1+Assumptions!$F$193,1))/12),8*Assumptions!H$222)-Assumptions!H$222)*(Assumptions!$C$58+Assumptions!$C$59)+IF(((Assumptions!$D$99*IF(Assumptions!H$206=2027,1+Assumptions!$F$193,1))/12)&gt;Assumptions!H$222,MIN(((Assumptions!$D$99*IF(Assumptions!H$206=2027,1+Assumptions!$F$193,1))/12),8*Assumptions!H$222)*Assumptions!$C$60+MIN(((Assumptions!$D$99*IF(Assumptions!H$206=2027,1+Assumptions!$F$193,1))/12),4*Assumptions!H$222)*Assumptions!$C$61,0))</f>
        <v>2771.41066666667</v>
      </c>
      <c r="I104" s="65" t="n">
        <f aca="false">I20*(MIN(((Assumptions!$D$99*IF(Assumptions!I$206=2027,1+Assumptions!$F$193,1))/12),Assumptions!I$222)*(Assumptions!$C$56+Assumptions!$C$57)+MAX(0,MIN(((Assumptions!$D$99*IF(Assumptions!I$206=2027,1+Assumptions!$F$193,1))/12),8*Assumptions!I$222)-Assumptions!I$222)*(Assumptions!$C$58+Assumptions!$C$59)+IF(((Assumptions!$D$99*IF(Assumptions!I$206=2027,1+Assumptions!$F$193,1))/12)&gt;Assumptions!I$222,MIN(((Assumptions!$D$99*IF(Assumptions!I$206=2027,1+Assumptions!$F$193,1))/12),8*Assumptions!I$222)*Assumptions!$C$60+MIN(((Assumptions!$D$99*IF(Assumptions!I$206=2027,1+Assumptions!$F$193,1))/12),4*Assumptions!I$222)*Assumptions!$C$61,0))</f>
        <v>2771.41066666667</v>
      </c>
      <c r="J104" s="65" t="n">
        <f aca="false">J20*(MIN(((Assumptions!$D$99*IF(Assumptions!J$206=2027,1+Assumptions!$F$193,1))/12),Assumptions!J$222)*(Assumptions!$C$56+Assumptions!$C$57)+MAX(0,MIN(((Assumptions!$D$99*IF(Assumptions!J$206=2027,1+Assumptions!$F$193,1))/12),8*Assumptions!J$222)-Assumptions!J$222)*(Assumptions!$C$58+Assumptions!$C$59)+IF(((Assumptions!$D$99*IF(Assumptions!J$206=2027,1+Assumptions!$F$193,1))/12)&gt;Assumptions!J$222,MIN(((Assumptions!$D$99*IF(Assumptions!J$206=2027,1+Assumptions!$F$193,1))/12),8*Assumptions!J$222)*Assumptions!$C$60+MIN(((Assumptions!$D$99*IF(Assumptions!J$206=2027,1+Assumptions!$F$193,1))/12),4*Assumptions!J$222)*Assumptions!$C$61,0))</f>
        <v>2771.41066666667</v>
      </c>
      <c r="K104" s="65" t="n">
        <f aca="false">K20*(MIN(((Assumptions!$D$99*IF(Assumptions!K$206=2027,1+Assumptions!$F$193,1))/12),Assumptions!K$222)*(Assumptions!$C$56+Assumptions!$C$57)+MAX(0,MIN(((Assumptions!$D$99*IF(Assumptions!K$206=2027,1+Assumptions!$F$193,1))/12),8*Assumptions!K$222)-Assumptions!K$222)*(Assumptions!$C$58+Assumptions!$C$59)+IF(((Assumptions!$D$99*IF(Assumptions!K$206=2027,1+Assumptions!$F$193,1))/12)&gt;Assumptions!K$222,MIN(((Assumptions!$D$99*IF(Assumptions!K$206=2027,1+Assumptions!$F$193,1))/12),8*Assumptions!K$222)*Assumptions!$C$60+MIN(((Assumptions!$D$99*IF(Assumptions!K$206=2027,1+Assumptions!$F$193,1))/12),4*Assumptions!K$222)*Assumptions!$C$61,0))</f>
        <v>2771.41066666667</v>
      </c>
      <c r="L104" s="65" t="n">
        <f aca="false">L20*(MIN(((Assumptions!$D$99*IF(Assumptions!L$206=2027,1+Assumptions!$F$193,1))/12),Assumptions!L$222)*(Assumptions!$C$56+Assumptions!$C$57)+MAX(0,MIN(((Assumptions!$D$99*IF(Assumptions!L$206=2027,1+Assumptions!$F$193,1))/12),8*Assumptions!L$222)-Assumptions!L$222)*(Assumptions!$C$58+Assumptions!$C$59)+IF(((Assumptions!$D$99*IF(Assumptions!L$206=2027,1+Assumptions!$F$193,1))/12)&gt;Assumptions!L$222,MIN(((Assumptions!$D$99*IF(Assumptions!L$206=2027,1+Assumptions!$F$193,1))/12),8*Assumptions!L$222)*Assumptions!$C$60+MIN(((Assumptions!$D$99*IF(Assumptions!L$206=2027,1+Assumptions!$F$193,1))/12),4*Assumptions!L$222)*Assumptions!$C$61,0))</f>
        <v>2771.41066666667</v>
      </c>
      <c r="M104" s="65" t="n">
        <f aca="false">M20*(MIN(((Assumptions!$D$99*IF(Assumptions!M$206=2027,1+Assumptions!$F$193,1))/12),Assumptions!M$222)*(Assumptions!$C$56+Assumptions!$C$57)+MAX(0,MIN(((Assumptions!$D$99*IF(Assumptions!M$206=2027,1+Assumptions!$F$193,1))/12),8*Assumptions!M$222)-Assumptions!M$222)*(Assumptions!$C$58+Assumptions!$C$59)+IF(((Assumptions!$D$99*IF(Assumptions!M$206=2027,1+Assumptions!$F$193,1))/12)&gt;Assumptions!M$222,MIN(((Assumptions!$D$99*IF(Assumptions!M$206=2027,1+Assumptions!$F$193,1))/12),8*Assumptions!M$222)*Assumptions!$C$60+MIN(((Assumptions!$D$99*IF(Assumptions!M$206=2027,1+Assumptions!$F$193,1))/12),4*Assumptions!M$222)*Assumptions!$C$61,0))</f>
        <v>2752.93459555556</v>
      </c>
      <c r="N104" s="65" t="n">
        <f aca="false">N20*(MIN(((Assumptions!$D$99*IF(Assumptions!N$206=2027,1+Assumptions!$F$193,1))/12),Assumptions!N$222)*(Assumptions!$C$56+Assumptions!$C$57)+MAX(0,MIN(((Assumptions!$D$99*IF(Assumptions!N$206=2027,1+Assumptions!$F$193,1))/12),8*Assumptions!N$222)-Assumptions!N$222)*(Assumptions!$C$58+Assumptions!$C$59)+IF(((Assumptions!$D$99*IF(Assumptions!N$206=2027,1+Assumptions!$F$193,1))/12)&gt;Assumptions!N$222,MIN(((Assumptions!$D$99*IF(Assumptions!N$206=2027,1+Assumptions!$F$193,1))/12),8*Assumptions!N$222)*Assumptions!$C$60+MIN(((Assumptions!$D$99*IF(Assumptions!N$206=2027,1+Assumptions!$F$193,1))/12),4*Assumptions!N$222)*Assumptions!$C$61,0))</f>
        <v>2734.58169825185</v>
      </c>
      <c r="O104" s="65" t="n">
        <f aca="false">O20*(MIN(((Assumptions!$D$99*IF(Assumptions!O$206=2027,1+Assumptions!$F$193,1))/12),Assumptions!O$222)*(Assumptions!$C$56+Assumptions!$C$57)+MAX(0,MIN(((Assumptions!$D$99*IF(Assumptions!O$206=2027,1+Assumptions!$F$193,1))/12),8*Assumptions!O$222)-Assumptions!O$222)*(Assumptions!$C$58+Assumptions!$C$59)+IF(((Assumptions!$D$99*IF(Assumptions!O$206=2027,1+Assumptions!$F$193,1))/12)&gt;Assumptions!O$222,MIN(((Assumptions!$D$99*IF(Assumptions!O$206=2027,1+Assumptions!$F$193,1))/12),8*Assumptions!O$222)*Assumptions!$C$60+MIN(((Assumptions!$D$99*IF(Assumptions!O$206=2027,1+Assumptions!$F$193,1))/12),4*Assumptions!O$222)*Assumptions!$C$61,0))</f>
        <v>2734.82722470795</v>
      </c>
      <c r="P104" s="65" t="n">
        <f aca="false">P20*(MIN(((Assumptions!$D$99*IF(Assumptions!P$206=2027,1+Assumptions!$F$193,1))/12),Assumptions!P$222)*(Assumptions!$C$56+Assumptions!$C$57)+MAX(0,MIN(((Assumptions!$D$99*IF(Assumptions!P$206=2027,1+Assumptions!$F$193,1))/12),8*Assumptions!P$222)-Assumptions!P$222)*(Assumptions!$C$58+Assumptions!$C$59)+IF(((Assumptions!$D$99*IF(Assumptions!P$206=2027,1+Assumptions!$F$193,1))/12)&gt;Assumptions!P$222,MIN(((Assumptions!$D$99*IF(Assumptions!P$206=2027,1+Assumptions!$F$193,1))/12),8*Assumptions!P$222)*Assumptions!$C$60+MIN(((Assumptions!$D$99*IF(Assumptions!P$206=2027,1+Assumptions!$F$193,1))/12),4*Assumptions!P$222)*Assumptions!$C$61,0))</f>
        <v>2734.9479405136</v>
      </c>
      <c r="Q104" s="65" t="n">
        <f aca="false">Q20*(MIN(((Assumptions!$D$99*IF(Assumptions!Q$206=2027,1+Assumptions!$F$193,1))/12),Assumptions!Q$222)*(Assumptions!$C$56+Assumptions!$C$57)+MAX(0,MIN(((Assumptions!$D$99*IF(Assumptions!Q$206=2027,1+Assumptions!$F$193,1))/12),8*Assumptions!Q$222)-Assumptions!Q$222)*(Assumptions!$C$58+Assumptions!$C$59)+IF(((Assumptions!$D$99*IF(Assumptions!Q$206=2027,1+Assumptions!$F$193,1))/12)&gt;Assumptions!Q$222,MIN(((Assumptions!$D$99*IF(Assumptions!Q$206=2027,1+Assumptions!$F$193,1))/12),8*Assumptions!Q$222)*Assumptions!$C$60+MIN(((Assumptions!$D$99*IF(Assumptions!Q$206=2027,1+Assumptions!$F$193,1))/12),4*Assumptions!Q$222)*Assumptions!$C$61,0))</f>
        <v>2823.77710259764</v>
      </c>
      <c r="R104" s="65" t="n">
        <f aca="false">R20*(MIN(((Assumptions!$D$99*IF(Assumptions!R$206=2027,1+Assumptions!$F$193,1))/12),Assumptions!R$222)*(Assumptions!$C$56+Assumptions!$C$57)+MAX(0,MIN(((Assumptions!$D$99*IF(Assumptions!R$206=2027,1+Assumptions!$F$193,1))/12),8*Assumptions!R$222)-Assumptions!R$222)*(Assumptions!$C$58+Assumptions!$C$59)+IF(((Assumptions!$D$99*IF(Assumptions!R$206=2027,1+Assumptions!$F$193,1))/12)&gt;Assumptions!R$222,MIN(((Assumptions!$D$99*IF(Assumptions!R$206=2027,1+Assumptions!$F$193,1))/12),8*Assumptions!R$222)*Assumptions!$C$60+MIN(((Assumptions!$D$99*IF(Assumptions!R$206=2027,1+Assumptions!$F$193,1))/12),4*Assumptions!R$222)*Assumptions!$C$61,0))</f>
        <v>2823.77628849257</v>
      </c>
      <c r="S104" s="65" t="n">
        <f aca="false">S20*(MIN(((Assumptions!$D$99*IF(Assumptions!S$206=2027,1+Assumptions!$F$193,1))/12),Assumptions!S$222)*(Assumptions!$C$56+Assumptions!$C$57)+MAX(0,MIN(((Assumptions!$D$99*IF(Assumptions!S$206=2027,1+Assumptions!$F$193,1))/12),8*Assumptions!S$222)-Assumptions!S$222)*(Assumptions!$C$58+Assumptions!$C$59)+IF(((Assumptions!$D$99*IF(Assumptions!S$206=2027,1+Assumptions!$F$193,1))/12)&gt;Assumptions!S$222,MIN(((Assumptions!$D$99*IF(Assumptions!S$206=2027,1+Assumptions!$F$193,1))/12),8*Assumptions!S$222)*Assumptions!$C$60+MIN(((Assumptions!$D$99*IF(Assumptions!S$206=2027,1+Assumptions!$F$193,1))/12),4*Assumptions!S$222)*Assumptions!$C$61,0))</f>
        <v>2823.77631072607</v>
      </c>
      <c r="T104" s="65" t="n">
        <f aca="false">T20*(MIN(((Assumptions!$D$99*IF(Assumptions!T$206=2027,1+Assumptions!$F$193,1))/12),Assumptions!T$222)*(Assumptions!$C$56+Assumptions!$C$57)+MAX(0,MIN(((Assumptions!$D$99*IF(Assumptions!T$206=2027,1+Assumptions!$F$193,1))/12),8*Assumptions!T$222)-Assumptions!T$222)*(Assumptions!$C$58+Assumptions!$C$59)+IF(((Assumptions!$D$99*IF(Assumptions!T$206=2027,1+Assumptions!$F$193,1))/12)&gt;Assumptions!T$222,MIN(((Assumptions!$D$99*IF(Assumptions!T$206=2027,1+Assumptions!$F$193,1))/12),8*Assumptions!T$222)*Assumptions!$C$60+MIN(((Assumptions!$D$99*IF(Assumptions!T$206=2027,1+Assumptions!$F$193,1))/12),4*Assumptions!T$222)*Assumptions!$C$61,0))</f>
        <v>2823.77631600521</v>
      </c>
      <c r="U104" s="65" t="n">
        <f aca="false">U20*(MIN(((Assumptions!$D$99*IF(Assumptions!U$206=2027,1+Assumptions!$F$193,1))/12),Assumptions!U$222)*(Assumptions!$C$56+Assumptions!$C$57)+MAX(0,MIN(((Assumptions!$D$99*IF(Assumptions!U$206=2027,1+Assumptions!$F$193,1))/12),8*Assumptions!U$222)-Assumptions!U$222)*(Assumptions!$C$58+Assumptions!$C$59)+IF(((Assumptions!$D$99*IF(Assumptions!U$206=2027,1+Assumptions!$F$193,1))/12)&gt;Assumptions!U$222,MIN(((Assumptions!$D$99*IF(Assumptions!U$206=2027,1+Assumptions!$F$193,1))/12),8*Assumptions!U$222)*Assumptions!$C$60+MIN(((Assumptions!$D$99*IF(Assumptions!U$206=2027,1+Assumptions!$F$193,1))/12),4*Assumptions!U$222)*Assumptions!$C$61,0))</f>
        <v>2823.77631582179</v>
      </c>
      <c r="V104" s="65" t="n">
        <f aca="false">V20*(MIN(((Assumptions!$D$99*IF(Assumptions!V$206=2027,1+Assumptions!$F$193,1))/12),Assumptions!V$222)*(Assumptions!$C$56+Assumptions!$C$57)+MAX(0,MIN(((Assumptions!$D$99*IF(Assumptions!V$206=2027,1+Assumptions!$F$193,1))/12),8*Assumptions!V$222)-Assumptions!V$222)*(Assumptions!$C$58+Assumptions!$C$59)+IF(((Assumptions!$D$99*IF(Assumptions!V$206=2027,1+Assumptions!$F$193,1))/12)&gt;Assumptions!V$222,MIN(((Assumptions!$D$99*IF(Assumptions!V$206=2027,1+Assumptions!$F$193,1))/12),8*Assumptions!V$222)*Assumptions!$C$60+MIN(((Assumptions!$D$99*IF(Assumptions!V$206=2027,1+Assumptions!$F$193,1))/12),4*Assumptions!V$222)*Assumptions!$C$61,0))</f>
        <v>2823.77631578782</v>
      </c>
      <c r="W104" s="65" t="n">
        <f aca="false">W20*(MIN(((Assumptions!$D$99*IF(Assumptions!W$206=2027,1+Assumptions!$F$193,1))/12),Assumptions!W$222)*(Assumptions!$C$56+Assumptions!$C$57)+MAX(0,MIN(((Assumptions!$D$99*IF(Assumptions!W$206=2027,1+Assumptions!$F$193,1))/12),8*Assumptions!W$222)-Assumptions!W$222)*(Assumptions!$C$58+Assumptions!$C$59)+IF(((Assumptions!$D$99*IF(Assumptions!W$206=2027,1+Assumptions!$F$193,1))/12)&gt;Assumptions!W$222,MIN(((Assumptions!$D$99*IF(Assumptions!W$206=2027,1+Assumptions!$F$193,1))/12),8*Assumptions!W$222)*Assumptions!$C$60+MIN(((Assumptions!$D$99*IF(Assumptions!W$206=2027,1+Assumptions!$F$193,1))/12),4*Assumptions!W$222)*Assumptions!$C$61,0))</f>
        <v>2823.77631578927</v>
      </c>
      <c r="X104" s="65" t="n">
        <f aca="false">X20*(MIN(((Assumptions!$D$99*IF(Assumptions!X$206=2027,1+Assumptions!$F$193,1))/12),Assumptions!X$222)*(Assumptions!$C$56+Assumptions!$C$57)+MAX(0,MIN(((Assumptions!$D$99*IF(Assumptions!X$206=2027,1+Assumptions!$F$193,1))/12),8*Assumptions!X$222)-Assumptions!X$222)*(Assumptions!$C$58+Assumptions!$C$59)+IF(((Assumptions!$D$99*IF(Assumptions!X$206=2027,1+Assumptions!$F$193,1))/12)&gt;Assumptions!X$222,MIN(((Assumptions!$D$99*IF(Assumptions!X$206=2027,1+Assumptions!$F$193,1))/12),8*Assumptions!X$222)*Assumptions!$C$60+MIN(((Assumptions!$D$99*IF(Assumptions!X$206=2027,1+Assumptions!$F$193,1))/12),4*Assumptions!X$222)*Assumptions!$C$61,0))</f>
        <v>2823.77631578949</v>
      </c>
      <c r="Y104" s="65" t="n">
        <f aca="false">Y20*(MIN(((Assumptions!$D$99*IF(Assumptions!Y$206=2027,1+Assumptions!$F$193,1))/12),Assumptions!Y$222)*(Assumptions!$C$56+Assumptions!$C$57)+MAX(0,MIN(((Assumptions!$D$99*IF(Assumptions!Y$206=2027,1+Assumptions!$F$193,1))/12),8*Assumptions!Y$222)-Assumptions!Y$222)*(Assumptions!$C$58+Assumptions!$C$59)+IF(((Assumptions!$D$99*IF(Assumptions!Y$206=2027,1+Assumptions!$F$193,1))/12)&gt;Assumptions!Y$222,MIN(((Assumptions!$D$99*IF(Assumptions!Y$206=2027,1+Assumptions!$F$193,1))/12),8*Assumptions!Y$222)*Assumptions!$C$60+MIN(((Assumptions!$D$99*IF(Assumptions!Y$206=2027,1+Assumptions!$F$193,1))/12),4*Assumptions!Y$222)*Assumptions!$C$61,0))</f>
        <v>2823.77631578947</v>
      </c>
      <c r="Z104" s="65" t="n">
        <f aca="false">Z20*(MIN(((Assumptions!$D$99*IF(Assumptions!Z$206=2027,1+Assumptions!$F$193,1))/12),Assumptions!Z$222)*(Assumptions!$C$56+Assumptions!$C$57)+MAX(0,MIN(((Assumptions!$D$99*IF(Assumptions!Z$206=2027,1+Assumptions!$F$193,1))/12),8*Assumptions!Z$222)-Assumptions!Z$222)*(Assumptions!$C$58+Assumptions!$C$59)+IF(((Assumptions!$D$99*IF(Assumptions!Z$206=2027,1+Assumptions!$F$193,1))/12)&gt;Assumptions!Z$222,MIN(((Assumptions!$D$99*IF(Assumptions!Z$206=2027,1+Assumptions!$F$193,1))/12),8*Assumptions!Z$222)*Assumptions!$C$60+MIN(((Assumptions!$D$99*IF(Assumptions!Z$206=2027,1+Assumptions!$F$193,1))/12),4*Assumptions!Z$222)*Assumptions!$C$61,0))</f>
        <v>2823.77631578947</v>
      </c>
      <c r="AA104" s="65" t="n">
        <f aca="false">AA20*(MIN(((Assumptions!$D$99*IF(Assumptions!AA$206=2027,1+Assumptions!$F$193,1))/12),Assumptions!AA$222)*(Assumptions!$C$56+Assumptions!$C$57)+MAX(0,MIN(((Assumptions!$D$99*IF(Assumptions!AA$206=2027,1+Assumptions!$F$193,1))/12),8*Assumptions!AA$222)-Assumptions!AA$222)*(Assumptions!$C$58+Assumptions!$C$59)+IF(((Assumptions!$D$99*IF(Assumptions!AA$206=2027,1+Assumptions!$F$193,1))/12)&gt;Assumptions!AA$222,MIN(((Assumptions!$D$99*IF(Assumptions!AA$206=2027,1+Assumptions!$F$193,1))/12),8*Assumptions!AA$222)*Assumptions!$C$60+MIN(((Assumptions!$D$99*IF(Assumptions!AA$206=2027,1+Assumptions!$F$193,1))/12),4*Assumptions!AA$222)*Assumptions!$C$61,0))</f>
        <v>2823.77631578947</v>
      </c>
      <c r="AB104" s="65" t="n">
        <f aca="false">AB20*(MIN(((Assumptions!$D$99*IF(Assumptions!AB$206=2027,1+Assumptions!$F$193,1))/12),Assumptions!AB$222)*(Assumptions!$C$56+Assumptions!$C$57)+MAX(0,MIN(((Assumptions!$D$99*IF(Assumptions!AB$206=2027,1+Assumptions!$F$193,1))/12),8*Assumptions!AB$222)-Assumptions!AB$222)*(Assumptions!$C$58+Assumptions!$C$59)+IF(((Assumptions!$D$99*IF(Assumptions!AB$206=2027,1+Assumptions!$F$193,1))/12)&gt;Assumptions!AB$222,MIN(((Assumptions!$D$99*IF(Assumptions!AB$206=2027,1+Assumptions!$F$193,1))/12),8*Assumptions!AB$222)*Assumptions!$C$60+MIN(((Assumptions!$D$99*IF(Assumptions!AB$206=2027,1+Assumptions!$F$193,1))/12),4*Assumptions!AB$222)*Assumptions!$C$61,0))</f>
        <v>2823.77631578947</v>
      </c>
    </row>
    <row r="105" customFormat="false" ht="15" hidden="false" customHeight="false" outlineLevel="0" collapsed="false">
      <c r="A105" s="28" t="s">
        <v>1191</v>
      </c>
      <c r="B105" s="62" t="s">
        <v>1179</v>
      </c>
      <c r="C105" s="64" t="n">
        <f aca="false">SUM(E105:P105)</f>
        <v>19139.0950145838</v>
      </c>
      <c r="D105" s="64" t="n">
        <f aca="false">SUM(Q105:AB105)</f>
        <v>22033.6980582299</v>
      </c>
      <c r="E105" s="65" t="n">
        <f aca="false">E21*(MIN(((Assumptions!$D$100*IF(Assumptions!E$206=2027,1+Assumptions!$F$193,1))/12),Assumptions!E$222)*(Assumptions!$C$56+Assumptions!$C$57)+MAX(0,MIN(((Assumptions!$D$100*IF(Assumptions!E$206=2027,1+Assumptions!$F$193,1))/12),8*Assumptions!E$222)-Assumptions!E$222)*(Assumptions!$C$58+Assumptions!$C$59)+IF(((Assumptions!$D$100*IF(Assumptions!E$206=2027,1+Assumptions!$F$193,1))/12)&gt;Assumptions!E$222,MIN(((Assumptions!$D$100*IF(Assumptions!E$206=2027,1+Assumptions!$F$193,1))/12),8*Assumptions!E$222)*Assumptions!$C$60+MIN(((Assumptions!$D$100*IF(Assumptions!E$206=2027,1+Assumptions!$F$193,1))/12),4*Assumptions!E$222)*Assumptions!$C$61,0))</f>
        <v>1372.52666666667</v>
      </c>
      <c r="F105" s="65" t="n">
        <f aca="false">F21*(MIN(((Assumptions!$D$100*IF(Assumptions!F$206=2027,1+Assumptions!$F$193,1))/12),Assumptions!F$222)*(Assumptions!$C$56+Assumptions!$C$57)+MAX(0,MIN(((Assumptions!$D$100*IF(Assumptions!F$206=2027,1+Assumptions!$F$193,1))/12),8*Assumptions!F$222)-Assumptions!F$222)*(Assumptions!$C$58+Assumptions!$C$59)+IF(((Assumptions!$D$100*IF(Assumptions!F$206=2027,1+Assumptions!$F$193,1))/12)&gt;Assumptions!F$222,MIN(((Assumptions!$D$100*IF(Assumptions!F$206=2027,1+Assumptions!$F$193,1))/12),8*Assumptions!F$222)*Assumptions!$C$60+MIN(((Assumptions!$D$100*IF(Assumptions!F$206=2027,1+Assumptions!$F$193,1))/12),4*Assumptions!F$222)*Assumptions!$C$61,0))</f>
        <v>1372.52666666667</v>
      </c>
      <c r="G105" s="65" t="n">
        <f aca="false">G21*(MIN(((Assumptions!$D$100*IF(Assumptions!G$206=2027,1+Assumptions!$F$193,1))/12),Assumptions!G$222)*(Assumptions!$C$56+Assumptions!$C$57)+MAX(0,MIN(((Assumptions!$D$100*IF(Assumptions!G$206=2027,1+Assumptions!$F$193,1))/12),8*Assumptions!G$222)-Assumptions!G$222)*(Assumptions!$C$58+Assumptions!$C$59)+IF(((Assumptions!$D$100*IF(Assumptions!G$206=2027,1+Assumptions!$F$193,1))/12)&gt;Assumptions!G$222,MIN(((Assumptions!$D$100*IF(Assumptions!G$206=2027,1+Assumptions!$F$193,1))/12),8*Assumptions!G$222)*Assumptions!$C$60+MIN(((Assumptions!$D$100*IF(Assumptions!G$206=2027,1+Assumptions!$F$193,1))/12),4*Assumptions!G$222)*Assumptions!$C$61,0))</f>
        <v>1647.032</v>
      </c>
      <c r="H105" s="65" t="n">
        <f aca="false">H21*(MIN(((Assumptions!$D$100*IF(Assumptions!H$206=2027,1+Assumptions!$F$193,1))/12),Assumptions!H$222)*(Assumptions!$C$56+Assumptions!$C$57)+MAX(0,MIN(((Assumptions!$D$100*IF(Assumptions!H$206=2027,1+Assumptions!$F$193,1))/12),8*Assumptions!H$222)-Assumptions!H$222)*(Assumptions!$C$58+Assumptions!$C$59)+IF(((Assumptions!$D$100*IF(Assumptions!H$206=2027,1+Assumptions!$F$193,1))/12)&gt;Assumptions!H$222,MIN(((Assumptions!$D$100*IF(Assumptions!H$206=2027,1+Assumptions!$F$193,1))/12),8*Assumptions!H$222)*Assumptions!$C$60+MIN(((Assumptions!$D$100*IF(Assumptions!H$206=2027,1+Assumptions!$F$193,1))/12),4*Assumptions!H$222)*Assumptions!$C$61,0))</f>
        <v>1647.032</v>
      </c>
      <c r="I105" s="65" t="n">
        <f aca="false">I21*(MIN(((Assumptions!$D$100*IF(Assumptions!I$206=2027,1+Assumptions!$F$193,1))/12),Assumptions!I$222)*(Assumptions!$C$56+Assumptions!$C$57)+MAX(0,MIN(((Assumptions!$D$100*IF(Assumptions!I$206=2027,1+Assumptions!$F$193,1))/12),8*Assumptions!I$222)-Assumptions!I$222)*(Assumptions!$C$58+Assumptions!$C$59)+IF(((Assumptions!$D$100*IF(Assumptions!I$206=2027,1+Assumptions!$F$193,1))/12)&gt;Assumptions!I$222,MIN(((Assumptions!$D$100*IF(Assumptions!I$206=2027,1+Assumptions!$F$193,1))/12),8*Assumptions!I$222)*Assumptions!$C$60+MIN(((Assumptions!$D$100*IF(Assumptions!I$206=2027,1+Assumptions!$F$193,1))/12),4*Assumptions!I$222)*Assumptions!$C$61,0))</f>
        <v>1647.032</v>
      </c>
      <c r="J105" s="65" t="n">
        <f aca="false">J21*(MIN(((Assumptions!$D$100*IF(Assumptions!J$206=2027,1+Assumptions!$F$193,1))/12),Assumptions!J$222)*(Assumptions!$C$56+Assumptions!$C$57)+MAX(0,MIN(((Assumptions!$D$100*IF(Assumptions!J$206=2027,1+Assumptions!$F$193,1))/12),8*Assumptions!J$222)-Assumptions!J$222)*(Assumptions!$C$58+Assumptions!$C$59)+IF(((Assumptions!$D$100*IF(Assumptions!J$206=2027,1+Assumptions!$F$193,1))/12)&gt;Assumptions!J$222,MIN(((Assumptions!$D$100*IF(Assumptions!J$206=2027,1+Assumptions!$F$193,1))/12),8*Assumptions!J$222)*Assumptions!$C$60+MIN(((Assumptions!$D$100*IF(Assumptions!J$206=2027,1+Assumptions!$F$193,1))/12),4*Assumptions!J$222)*Assumptions!$C$61,0))</f>
        <v>1647.032</v>
      </c>
      <c r="K105" s="65" t="n">
        <f aca="false">K21*(MIN(((Assumptions!$D$100*IF(Assumptions!K$206=2027,1+Assumptions!$F$193,1))/12),Assumptions!K$222)*(Assumptions!$C$56+Assumptions!$C$57)+MAX(0,MIN(((Assumptions!$D$100*IF(Assumptions!K$206=2027,1+Assumptions!$F$193,1))/12),8*Assumptions!K$222)-Assumptions!K$222)*(Assumptions!$C$58+Assumptions!$C$59)+IF(((Assumptions!$D$100*IF(Assumptions!K$206=2027,1+Assumptions!$F$193,1))/12)&gt;Assumptions!K$222,MIN(((Assumptions!$D$100*IF(Assumptions!K$206=2027,1+Assumptions!$F$193,1))/12),8*Assumptions!K$222)*Assumptions!$C$60+MIN(((Assumptions!$D$100*IF(Assumptions!K$206=2027,1+Assumptions!$F$193,1))/12),4*Assumptions!K$222)*Assumptions!$C$61,0))</f>
        <v>1647.032</v>
      </c>
      <c r="L105" s="65" t="n">
        <f aca="false">L21*(MIN(((Assumptions!$D$100*IF(Assumptions!L$206=2027,1+Assumptions!$F$193,1))/12),Assumptions!L$222)*(Assumptions!$C$56+Assumptions!$C$57)+MAX(0,MIN(((Assumptions!$D$100*IF(Assumptions!L$206=2027,1+Assumptions!$F$193,1))/12),8*Assumptions!L$222)-Assumptions!L$222)*(Assumptions!$C$58+Assumptions!$C$59)+IF(((Assumptions!$D$100*IF(Assumptions!L$206=2027,1+Assumptions!$F$193,1))/12)&gt;Assumptions!L$222,MIN(((Assumptions!$D$100*IF(Assumptions!L$206=2027,1+Assumptions!$F$193,1))/12),8*Assumptions!L$222)*Assumptions!$C$60+MIN(((Assumptions!$D$100*IF(Assumptions!L$206=2027,1+Assumptions!$F$193,1))/12),4*Assumptions!L$222)*Assumptions!$C$61,0))</f>
        <v>1647.032</v>
      </c>
      <c r="M105" s="65" t="n">
        <f aca="false">M21*(MIN(((Assumptions!$D$100*IF(Assumptions!M$206=2027,1+Assumptions!$F$193,1))/12),Assumptions!M$222)*(Assumptions!$C$56+Assumptions!$C$57)+MAX(0,MIN(((Assumptions!$D$100*IF(Assumptions!M$206=2027,1+Assumptions!$F$193,1))/12),8*Assumptions!M$222)-Assumptions!M$222)*(Assumptions!$C$58+Assumptions!$C$59)+IF(((Assumptions!$D$100*IF(Assumptions!M$206=2027,1+Assumptions!$F$193,1))/12)&gt;Assumptions!M$222,MIN(((Assumptions!$D$100*IF(Assumptions!M$206=2027,1+Assumptions!$F$193,1))/12),8*Assumptions!M$222)*Assumptions!$C$60+MIN(((Assumptions!$D$100*IF(Assumptions!M$206=2027,1+Assumptions!$F$193,1))/12),4*Assumptions!M$222)*Assumptions!$C$61,0))</f>
        <v>1636.05178666667</v>
      </c>
      <c r="N105" s="65" t="n">
        <f aca="false">N21*(MIN(((Assumptions!$D$100*IF(Assumptions!N$206=2027,1+Assumptions!$F$193,1))/12),Assumptions!N$222)*(Assumptions!$C$56+Assumptions!$C$57)+MAX(0,MIN(((Assumptions!$D$100*IF(Assumptions!N$206=2027,1+Assumptions!$F$193,1))/12),8*Assumptions!N$222)-Assumptions!N$222)*(Assumptions!$C$58+Assumptions!$C$59)+IF(((Assumptions!$D$100*IF(Assumptions!N$206=2027,1+Assumptions!$F$193,1))/12)&gt;Assumptions!N$222,MIN(((Assumptions!$D$100*IF(Assumptions!N$206=2027,1+Assumptions!$F$193,1))/12),8*Assumptions!N$222)*Assumptions!$C$60+MIN(((Assumptions!$D$100*IF(Assumptions!N$206=2027,1+Assumptions!$F$193,1))/12),4*Assumptions!N$222)*Assumptions!$C$61,0))</f>
        <v>1625.14477475556</v>
      </c>
      <c r="O105" s="65" t="n">
        <f aca="false">O21*(MIN(((Assumptions!$D$100*IF(Assumptions!O$206=2027,1+Assumptions!$F$193,1))/12),Assumptions!O$222)*(Assumptions!$C$56+Assumptions!$C$57)+MAX(0,MIN(((Assumptions!$D$100*IF(Assumptions!O$206=2027,1+Assumptions!$F$193,1))/12),8*Assumptions!O$222)-Assumptions!O$222)*(Assumptions!$C$58+Assumptions!$C$59)+IF(((Assumptions!$D$100*IF(Assumptions!O$206=2027,1+Assumptions!$F$193,1))/12)&gt;Assumptions!O$222,MIN(((Assumptions!$D$100*IF(Assumptions!O$206=2027,1+Assumptions!$F$193,1))/12),8*Assumptions!O$222)*Assumptions!$C$60+MIN(((Assumptions!$D$100*IF(Assumptions!O$206=2027,1+Assumptions!$F$193,1))/12),4*Assumptions!O$222)*Assumptions!$C$61,0))</f>
        <v>1625.29068959052</v>
      </c>
      <c r="P105" s="65" t="n">
        <f aca="false">P21*(MIN(((Assumptions!$D$100*IF(Assumptions!P$206=2027,1+Assumptions!$F$193,1))/12),Assumptions!P$222)*(Assumptions!$C$56+Assumptions!$C$57)+MAX(0,MIN(((Assumptions!$D$100*IF(Assumptions!P$206=2027,1+Assumptions!$F$193,1))/12),8*Assumptions!P$222)-Assumptions!P$222)*(Assumptions!$C$58+Assumptions!$C$59)+IF(((Assumptions!$D$100*IF(Assumptions!P$206=2027,1+Assumptions!$F$193,1))/12)&gt;Assumptions!P$222,MIN(((Assumptions!$D$100*IF(Assumptions!P$206=2027,1+Assumptions!$F$193,1))/12),8*Assumptions!P$222)*Assumptions!$C$60+MIN(((Assumptions!$D$100*IF(Assumptions!P$206=2027,1+Assumptions!$F$193,1))/12),4*Assumptions!P$222)*Assumptions!$C$61,0))</f>
        <v>1625.36243023769</v>
      </c>
      <c r="Q105" s="65" t="n">
        <f aca="false">Q21*(MIN(((Assumptions!$D$100*IF(Assumptions!Q$206=2027,1+Assumptions!$F$193,1))/12),Assumptions!Q$222)*(Assumptions!$C$56+Assumptions!$C$57)+MAX(0,MIN(((Assumptions!$D$100*IF(Assumptions!Q$206=2027,1+Assumptions!$F$193,1))/12),8*Assumptions!Q$222)-Assumptions!Q$222)*(Assumptions!$C$58+Assumptions!$C$59)+IF(((Assumptions!$D$100*IF(Assumptions!Q$206=2027,1+Assumptions!$F$193,1))/12)&gt;Assumptions!Q$222,MIN(((Assumptions!$D$100*IF(Assumptions!Q$206=2027,1+Assumptions!$F$193,1))/12),8*Assumptions!Q$222)*Assumptions!$C$60+MIN(((Assumptions!$D$100*IF(Assumptions!Q$206=2027,1+Assumptions!$F$193,1))/12),4*Assumptions!Q$222)*Assumptions!$C$61,0))</f>
        <v>1694.47152477368</v>
      </c>
      <c r="R105" s="65" t="n">
        <f aca="false">R21*(MIN(((Assumptions!$D$100*IF(Assumptions!R$206=2027,1+Assumptions!$F$193,1))/12),Assumptions!R$222)*(Assumptions!$C$56+Assumptions!$C$57)+MAX(0,MIN(((Assumptions!$D$100*IF(Assumptions!R$206=2027,1+Assumptions!$F$193,1))/12),8*Assumptions!R$222)-Assumptions!R$222)*(Assumptions!$C$58+Assumptions!$C$59)+IF(((Assumptions!$D$100*IF(Assumptions!R$206=2027,1+Assumptions!$F$193,1))/12)&gt;Assumptions!R$222,MIN(((Assumptions!$D$100*IF(Assumptions!R$206=2027,1+Assumptions!$F$193,1))/12),8*Assumptions!R$222)*Assumptions!$C$60+MIN(((Assumptions!$D$100*IF(Assumptions!R$206=2027,1+Assumptions!$F$193,1))/12),4*Assumptions!R$222)*Assumptions!$C$61,0))</f>
        <v>1694.47103625145</v>
      </c>
      <c r="S105" s="65" t="n">
        <f aca="false">S21*(MIN(((Assumptions!$D$100*IF(Assumptions!S$206=2027,1+Assumptions!$F$193,1))/12),Assumptions!S$222)*(Assumptions!$C$56+Assumptions!$C$57)+MAX(0,MIN(((Assumptions!$D$100*IF(Assumptions!S$206=2027,1+Assumptions!$F$193,1))/12),8*Assumptions!S$222)-Assumptions!S$222)*(Assumptions!$C$58+Assumptions!$C$59)+IF(((Assumptions!$D$100*IF(Assumptions!S$206=2027,1+Assumptions!$F$193,1))/12)&gt;Assumptions!S$222,MIN(((Assumptions!$D$100*IF(Assumptions!S$206=2027,1+Assumptions!$F$193,1))/12),8*Assumptions!S$222)*Assumptions!$C$60+MIN(((Assumptions!$D$100*IF(Assumptions!S$206=2027,1+Assumptions!$F$193,1))/12),4*Assumptions!S$222)*Assumptions!$C$61,0))</f>
        <v>1694.47104959317</v>
      </c>
      <c r="T105" s="65" t="n">
        <f aca="false">T21*(MIN(((Assumptions!$D$100*IF(Assumptions!T$206=2027,1+Assumptions!$F$193,1))/12),Assumptions!T$222)*(Assumptions!$C$56+Assumptions!$C$57)+MAX(0,MIN(((Assumptions!$D$100*IF(Assumptions!T$206=2027,1+Assumptions!$F$193,1))/12),8*Assumptions!T$222)-Assumptions!T$222)*(Assumptions!$C$58+Assumptions!$C$59)+IF(((Assumptions!$D$100*IF(Assumptions!T$206=2027,1+Assumptions!$F$193,1))/12)&gt;Assumptions!T$222,MIN(((Assumptions!$D$100*IF(Assumptions!T$206=2027,1+Assumptions!$F$193,1))/12),8*Assumptions!T$222)*Assumptions!$C$60+MIN(((Assumptions!$D$100*IF(Assumptions!T$206=2027,1+Assumptions!$F$193,1))/12),4*Assumptions!T$222)*Assumptions!$C$61,0))</f>
        <v>1694.47105276104</v>
      </c>
      <c r="U105" s="65" t="n">
        <f aca="false">U21*(MIN(((Assumptions!$D$100*IF(Assumptions!U$206=2027,1+Assumptions!$F$193,1))/12),Assumptions!U$222)*(Assumptions!$C$56+Assumptions!$C$57)+MAX(0,MIN(((Assumptions!$D$100*IF(Assumptions!U$206=2027,1+Assumptions!$F$193,1))/12),8*Assumptions!U$222)-Assumptions!U$222)*(Assumptions!$C$58+Assumptions!$C$59)+IF(((Assumptions!$D$100*IF(Assumptions!U$206=2027,1+Assumptions!$F$193,1))/12)&gt;Assumptions!U$222,MIN(((Assumptions!$D$100*IF(Assumptions!U$206=2027,1+Assumptions!$F$193,1))/12),8*Assumptions!U$222)*Assumptions!$C$60+MIN(((Assumptions!$D$100*IF(Assumptions!U$206=2027,1+Assumptions!$F$193,1))/12),4*Assumptions!U$222)*Assumptions!$C$61,0))</f>
        <v>1694.47105265097</v>
      </c>
      <c r="V105" s="65" t="n">
        <f aca="false">V21*(MIN(((Assumptions!$D$100*IF(Assumptions!V$206=2027,1+Assumptions!$F$193,1))/12),Assumptions!V$222)*(Assumptions!$C$56+Assumptions!$C$57)+MAX(0,MIN(((Assumptions!$D$100*IF(Assumptions!V$206=2027,1+Assumptions!$F$193,1))/12),8*Assumptions!V$222)-Assumptions!V$222)*(Assumptions!$C$58+Assumptions!$C$59)+IF(((Assumptions!$D$100*IF(Assumptions!V$206=2027,1+Assumptions!$F$193,1))/12)&gt;Assumptions!V$222,MIN(((Assumptions!$D$100*IF(Assumptions!V$206=2027,1+Assumptions!$F$193,1))/12),8*Assumptions!V$222)*Assumptions!$C$60+MIN(((Assumptions!$D$100*IF(Assumptions!V$206=2027,1+Assumptions!$F$193,1))/12),4*Assumptions!V$222)*Assumptions!$C$61,0))</f>
        <v>1694.47105263059</v>
      </c>
      <c r="W105" s="65" t="n">
        <f aca="false">W21*(MIN(((Assumptions!$D$100*IF(Assumptions!W$206=2027,1+Assumptions!$F$193,1))/12),Assumptions!W$222)*(Assumptions!$C$56+Assumptions!$C$57)+MAX(0,MIN(((Assumptions!$D$100*IF(Assumptions!W$206=2027,1+Assumptions!$F$193,1))/12),8*Assumptions!W$222)-Assumptions!W$222)*(Assumptions!$C$58+Assumptions!$C$59)+IF(((Assumptions!$D$100*IF(Assumptions!W$206=2027,1+Assumptions!$F$193,1))/12)&gt;Assumptions!W$222,MIN(((Assumptions!$D$100*IF(Assumptions!W$206=2027,1+Assumptions!$F$193,1))/12),8*Assumptions!W$222)*Assumptions!$C$60+MIN(((Assumptions!$D$100*IF(Assumptions!W$206=2027,1+Assumptions!$F$193,1))/12),4*Assumptions!W$222)*Assumptions!$C$61,0))</f>
        <v>1980.64838596479</v>
      </c>
      <c r="X105" s="65" t="n">
        <f aca="false">X21*(MIN(((Assumptions!$D$100*IF(Assumptions!X$206=2027,1+Assumptions!$F$193,1))/12),Assumptions!X$222)*(Assumptions!$C$56+Assumptions!$C$57)+MAX(0,MIN(((Assumptions!$D$100*IF(Assumptions!X$206=2027,1+Assumptions!$F$193,1))/12),8*Assumptions!X$222)-Assumptions!X$222)*(Assumptions!$C$58+Assumptions!$C$59)+IF(((Assumptions!$D$100*IF(Assumptions!X$206=2027,1+Assumptions!$F$193,1))/12)&gt;Assumptions!X$222,MIN(((Assumptions!$D$100*IF(Assumptions!X$206=2027,1+Assumptions!$F$193,1))/12),8*Assumptions!X$222)*Assumptions!$C$60+MIN(((Assumptions!$D$100*IF(Assumptions!X$206=2027,1+Assumptions!$F$193,1))/12),4*Assumptions!X$222)*Assumptions!$C$61,0))</f>
        <v>1978.74053707603</v>
      </c>
      <c r="Y105" s="65" t="n">
        <f aca="false">Y21*(MIN(((Assumptions!$D$100*IF(Assumptions!Y$206=2027,1+Assumptions!$F$193,1))/12),Assumptions!Y$222)*(Assumptions!$C$56+Assumptions!$C$57)+MAX(0,MIN(((Assumptions!$D$100*IF(Assumptions!Y$206=2027,1+Assumptions!$F$193,1))/12),8*Assumptions!Y$222)-Assumptions!Y$222)*(Assumptions!$C$58+Assumptions!$C$59)+IF(((Assumptions!$D$100*IF(Assumptions!Y$206=2027,1+Assumptions!$F$193,1))/12)&gt;Assumptions!Y$222,MIN(((Assumptions!$D$100*IF(Assumptions!Y$206=2027,1+Assumptions!$F$193,1))/12),8*Assumptions!Y$222)*Assumptions!$C$60+MIN(((Assumptions!$D$100*IF(Assumptions!Y$206=2027,1+Assumptions!$F$193,1))/12),4*Assumptions!Y$222)*Assumptions!$C$61,0))</f>
        <v>1976.84540717973</v>
      </c>
      <c r="Z105" s="65" t="n">
        <f aca="false">Z21*(MIN(((Assumptions!$D$100*IF(Assumptions!Z$206=2027,1+Assumptions!$F$193,1))/12),Assumptions!Z$222)*(Assumptions!$C$56+Assumptions!$C$57)+MAX(0,MIN(((Assumptions!$D$100*IF(Assumptions!Z$206=2027,1+Assumptions!$F$193,1))/12),8*Assumptions!Z$222)-Assumptions!Z$222)*(Assumptions!$C$58+Assumptions!$C$59)+IF(((Assumptions!$D$100*IF(Assumptions!Z$206=2027,1+Assumptions!$F$193,1))/12)&gt;Assumptions!Z$222,MIN(((Assumptions!$D$100*IF(Assumptions!Z$206=2027,1+Assumptions!$F$193,1))/12),8*Assumptions!Z$222)*Assumptions!$C$60+MIN(((Assumptions!$D$100*IF(Assumptions!Z$206=2027,1+Assumptions!$F$193,1))/12),4*Assumptions!Z$222)*Assumptions!$C$61,0))</f>
        <v>1976.87076037163</v>
      </c>
      <c r="AA105" s="65" t="n">
        <f aca="false">AA21*(MIN(((Assumptions!$D$100*IF(Assumptions!AA$206=2027,1+Assumptions!$F$193,1))/12),Assumptions!AA$222)*(Assumptions!$C$56+Assumptions!$C$57)+MAX(0,MIN(((Assumptions!$D$100*IF(Assumptions!AA$206=2027,1+Assumptions!$F$193,1))/12),8*Assumptions!AA$222)-Assumptions!AA$222)*(Assumptions!$C$58+Assumptions!$C$59)+IF(((Assumptions!$D$100*IF(Assumptions!AA$206=2027,1+Assumptions!$F$193,1))/12)&gt;Assumptions!AA$222,MIN(((Assumptions!$D$100*IF(Assumptions!AA$206=2027,1+Assumptions!$F$193,1))/12),8*Assumptions!AA$222)*Assumptions!$C$60+MIN(((Assumptions!$D$100*IF(Assumptions!AA$206=2027,1+Assumptions!$F$193,1))/12),4*Assumptions!AA$222)*Assumptions!$C$61,0))</f>
        <v>1976.88322554966</v>
      </c>
      <c r="AB105" s="65" t="n">
        <f aca="false">AB21*(MIN(((Assumptions!$D$100*IF(Assumptions!AB$206=2027,1+Assumptions!$F$193,1))/12),Assumptions!AB$222)*(Assumptions!$C$56+Assumptions!$C$57)+MAX(0,MIN(((Assumptions!$D$100*IF(Assumptions!AB$206=2027,1+Assumptions!$F$193,1))/12),8*Assumptions!AB$222)-Assumptions!AB$222)*(Assumptions!$C$58+Assumptions!$C$59)+IF(((Assumptions!$D$100*IF(Assumptions!AB$206=2027,1+Assumptions!$F$193,1))/12)&gt;Assumptions!AB$222,MIN(((Assumptions!$D$100*IF(Assumptions!AB$206=2027,1+Assumptions!$F$193,1))/12),8*Assumptions!AB$222)*Assumptions!$C$60+MIN(((Assumptions!$D$100*IF(Assumptions!AB$206=2027,1+Assumptions!$F$193,1))/12),4*Assumptions!AB$222)*Assumptions!$C$61,0))</f>
        <v>1976.88297342719</v>
      </c>
    </row>
    <row r="106" customFormat="false" ht="15" hidden="false" customHeight="false" outlineLevel="0" collapsed="false">
      <c r="A106" s="28" t="s">
        <v>1192</v>
      </c>
      <c r="B106" s="62"/>
      <c r="C106" s="64" t="n">
        <f aca="false">SUM(E106:P106)</f>
        <v>102792.358107796</v>
      </c>
      <c r="D106" s="64" t="n">
        <f aca="false">SUM(Q106:AB106)</f>
        <v>118702.863885938</v>
      </c>
      <c r="E106" s="65" t="n">
        <f aca="false">E9*(MIN(((Assumptions!$D$88*IF(Assumptions!E$206=2027,1+Assumptions!$F$193,1))/12),Assumptions!E$222)*Assumptions!$C$62+((Assumptions!$D$88*IF(Assumptions!E$206=2027,1+Assumptions!$F$193,1))/12)*Assumptions!$C$63+((Assumptions!$D$88*IF(Assumptions!E$206=2027,1+Assumptions!$F$193,1))/12)*Assumptions!$C$71*Assumptions!$C$70)</f>
        <v>7611.20791666667</v>
      </c>
      <c r="F106" s="65" t="n">
        <f aca="false">F9*(MIN(((Assumptions!$D$88*IF(Assumptions!F$206=2027,1+Assumptions!$F$193,1))/12),Assumptions!F$222)*Assumptions!$C$62+((Assumptions!$D$88*IF(Assumptions!F$206=2027,1+Assumptions!$F$193,1))/12)*Assumptions!$C$63+((Assumptions!$D$88*IF(Assumptions!F$206=2027,1+Assumptions!$F$193,1))/12)*Assumptions!$C$71*Assumptions!$C$70)</f>
        <v>8698.52333333333</v>
      </c>
      <c r="G106" s="65" t="n">
        <f aca="false">G9*(MIN(((Assumptions!$D$88*IF(Assumptions!G$206=2027,1+Assumptions!$F$193,1))/12),Assumptions!G$222)*Assumptions!$C$62+((Assumptions!$D$88*IF(Assumptions!G$206=2027,1+Assumptions!$F$193,1))/12)*Assumptions!$C$63+((Assumptions!$D$88*IF(Assumptions!G$206=2027,1+Assumptions!$F$193,1))/12)*Assumptions!$C$71*Assumptions!$C$70)</f>
        <v>8698.52333333333</v>
      </c>
      <c r="H106" s="65" t="n">
        <f aca="false">H9*(MIN(((Assumptions!$D$88*IF(Assumptions!H$206=2027,1+Assumptions!$F$193,1))/12),Assumptions!H$222)*Assumptions!$C$62+((Assumptions!$D$88*IF(Assumptions!H$206=2027,1+Assumptions!$F$193,1))/12)*Assumptions!$C$63+((Assumptions!$D$88*IF(Assumptions!H$206=2027,1+Assumptions!$F$193,1))/12)*Assumptions!$C$71*Assumptions!$C$70)</f>
        <v>8698.52333333333</v>
      </c>
      <c r="I106" s="65" t="n">
        <f aca="false">I9*(MIN(((Assumptions!$D$88*IF(Assumptions!I$206=2027,1+Assumptions!$F$193,1))/12),Assumptions!I$222)*Assumptions!$C$62+((Assumptions!$D$88*IF(Assumptions!I$206=2027,1+Assumptions!$F$193,1))/12)*Assumptions!$C$63+((Assumptions!$D$88*IF(Assumptions!I$206=2027,1+Assumptions!$F$193,1))/12)*Assumptions!$C$71*Assumptions!$C$70)</f>
        <v>8698.52333333333</v>
      </c>
      <c r="J106" s="65" t="n">
        <f aca="false">J9*(MIN(((Assumptions!$D$88*IF(Assumptions!J$206=2027,1+Assumptions!$F$193,1))/12),Assumptions!J$222)*Assumptions!$C$62+((Assumptions!$D$88*IF(Assumptions!J$206=2027,1+Assumptions!$F$193,1))/12)*Assumptions!$C$63+((Assumptions!$D$88*IF(Assumptions!J$206=2027,1+Assumptions!$F$193,1))/12)*Assumptions!$C$71*Assumptions!$C$70)</f>
        <v>8698.52333333333</v>
      </c>
      <c r="K106" s="65" t="n">
        <f aca="false">K9*(MIN(((Assumptions!$D$88*IF(Assumptions!K$206=2027,1+Assumptions!$F$193,1))/12),Assumptions!K$222)*Assumptions!$C$62+((Assumptions!$D$88*IF(Assumptions!K$206=2027,1+Assumptions!$F$193,1))/12)*Assumptions!$C$63+((Assumptions!$D$88*IF(Assumptions!K$206=2027,1+Assumptions!$F$193,1))/12)*Assumptions!$C$71*Assumptions!$C$70)</f>
        <v>8698.52333333333</v>
      </c>
      <c r="L106" s="65" t="n">
        <f aca="false">L9*(MIN(((Assumptions!$D$88*IF(Assumptions!L$206=2027,1+Assumptions!$F$193,1))/12),Assumptions!L$222)*Assumptions!$C$62+((Assumptions!$D$88*IF(Assumptions!L$206=2027,1+Assumptions!$F$193,1))/12)*Assumptions!$C$63+((Assumptions!$D$88*IF(Assumptions!L$206=2027,1+Assumptions!$F$193,1))/12)*Assumptions!$C$71*Assumptions!$C$70)</f>
        <v>8698.52333333333</v>
      </c>
      <c r="M106" s="65" t="n">
        <f aca="false">M9*(MIN(((Assumptions!$D$88*IF(Assumptions!M$206=2027,1+Assumptions!$F$193,1))/12),Assumptions!M$222)*Assumptions!$C$62+((Assumptions!$D$88*IF(Assumptions!M$206=2027,1+Assumptions!$F$193,1))/12)*Assumptions!$C$63+((Assumptions!$D$88*IF(Assumptions!M$206=2027,1+Assumptions!$F$193,1))/12)*Assumptions!$C$71*Assumptions!$C$70)</f>
        <v>8626.03563888889</v>
      </c>
      <c r="N106" s="65" t="n">
        <f aca="false">N9*(MIN(((Assumptions!$D$88*IF(Assumptions!N$206=2027,1+Assumptions!$F$193,1))/12),Assumptions!N$222)*Assumptions!$C$62+((Assumptions!$D$88*IF(Assumptions!N$206=2027,1+Assumptions!$F$193,1))/12)*Assumptions!$C$63+((Assumptions!$D$88*IF(Assumptions!N$206=2027,1+Assumptions!$F$193,1))/12)*Assumptions!$C$71*Assumptions!$C$70)</f>
        <v>8554.15200856482</v>
      </c>
      <c r="O106" s="65" t="n">
        <f aca="false">O9*(MIN(((Assumptions!$D$88*IF(Assumptions!O$206=2027,1+Assumptions!$F$193,1))/12),Assumptions!O$222)*Assumptions!$C$62+((Assumptions!$D$88*IF(Assumptions!O$206=2027,1+Assumptions!$F$193,1))/12)*Assumptions!$C$63+((Assumptions!$D$88*IF(Assumptions!O$206=2027,1+Assumptions!$F$193,1))/12)*Assumptions!$C$71*Assumptions!$C$70)</f>
        <v>8555.35510293789</v>
      </c>
      <c r="P106" s="65" t="n">
        <f aca="false">P9*(MIN(((Assumptions!$D$88*IF(Assumptions!P$206=2027,1+Assumptions!$F$193,1))/12),Assumptions!P$222)*Assumptions!$C$62+((Assumptions!$D$88*IF(Assumptions!P$206=2027,1+Assumptions!$F$193,1))/12)*Assumptions!$C$63+((Assumptions!$D$88*IF(Assumptions!P$206=2027,1+Assumptions!$F$193,1))/12)*Assumptions!$C$71*Assumptions!$C$70)</f>
        <v>8555.94410740415</v>
      </c>
      <c r="Q106" s="65" t="n">
        <f aca="false">Q9*(MIN(((Assumptions!$D$88*IF(Assumptions!Q$206=2027,1+Assumptions!$F$193,1))/12),Assumptions!Q$222)*Assumptions!$C$62+((Assumptions!$D$88*IF(Assumptions!Q$206=2027,1+Assumptions!$F$193,1))/12)*Assumptions!$C$63+((Assumptions!$D$88*IF(Assumptions!Q$206=2027,1+Assumptions!$F$193,1))/12)*Assumptions!$C$71*Assumptions!$C$70)</f>
        <v>9907.97209052425</v>
      </c>
      <c r="R106" s="65" t="n">
        <f aca="false">R9*(MIN(((Assumptions!$D$88*IF(Assumptions!R$206=2027,1+Assumptions!$F$193,1))/12),Assumptions!R$222)*Assumptions!$C$62+((Assumptions!$D$88*IF(Assumptions!R$206=2027,1+Assumptions!$F$193,1))/12)*Assumptions!$C$63+((Assumptions!$D$88*IF(Assumptions!R$206=2027,1+Assumptions!$F$193,1))/12)*Assumptions!$C$71*Assumptions!$C$70)</f>
        <v>9898.65747086656</v>
      </c>
      <c r="S106" s="65" t="n">
        <f aca="false">S9*(MIN(((Assumptions!$D$88*IF(Assumptions!S$206=2027,1+Assumptions!$F$193,1))/12),Assumptions!S$222)*Assumptions!$C$62+((Assumptions!$D$88*IF(Assumptions!S$206=2027,1+Assumptions!$F$193,1))/12)*Assumptions!$C$63+((Assumptions!$D$88*IF(Assumptions!S$206=2027,1+Assumptions!$F$193,1))/12)*Assumptions!$C$71*Assumptions!$C$70)</f>
        <v>9889.42551615508</v>
      </c>
      <c r="T106" s="65" t="n">
        <f aca="false">T9*(MIN(((Assumptions!$D$88*IF(Assumptions!T$206=2027,1+Assumptions!$F$193,1))/12),Assumptions!T$222)*Assumptions!$C$62+((Assumptions!$D$88*IF(Assumptions!T$206=2027,1+Assumptions!$F$193,1))/12)*Assumptions!$C$63+((Assumptions!$D$88*IF(Assumptions!T$206=2027,1+Assumptions!$F$193,1))/12)*Assumptions!$C$71*Assumptions!$C$70)</f>
        <v>9889.58007094149</v>
      </c>
      <c r="U106" s="65" t="n">
        <f aca="false">U9*(MIN(((Assumptions!$D$88*IF(Assumptions!U$206=2027,1+Assumptions!$F$193,1))/12),Assumptions!U$222)*Assumptions!$C$62+((Assumptions!$D$88*IF(Assumptions!U$206=2027,1+Assumptions!$F$193,1))/12)*Assumptions!$C$63+((Assumptions!$D$88*IF(Assumptions!U$206=2027,1+Assumptions!$F$193,1))/12)*Assumptions!$C$71*Assumptions!$C$70)</f>
        <v>9889.65571594086</v>
      </c>
      <c r="V106" s="65" t="n">
        <f aca="false">V9*(MIN(((Assumptions!$D$88*IF(Assumptions!V$206=2027,1+Assumptions!$F$193,1))/12),Assumptions!V$222)*Assumptions!$C$62+((Assumptions!$D$88*IF(Assumptions!V$206=2027,1+Assumptions!$F$193,1))/12)*Assumptions!$C$63+((Assumptions!$D$88*IF(Assumptions!V$206=2027,1+Assumptions!$F$193,1))/12)*Assumptions!$C$71*Assumptions!$C$70)</f>
        <v>9889.65379760931</v>
      </c>
      <c r="W106" s="65" t="n">
        <f aca="false">W9*(MIN(((Assumptions!$D$88*IF(Assumptions!W$206=2027,1+Assumptions!$F$193,1))/12),Assumptions!W$222)*Assumptions!$C$62+((Assumptions!$D$88*IF(Assumptions!W$206=2027,1+Assumptions!$F$193,1))/12)*Assumptions!$C$63+((Assumptions!$D$88*IF(Assumptions!W$206=2027,1+Assumptions!$F$193,1))/12)*Assumptions!$C$71*Assumptions!$C$70)</f>
        <v>9889.65318322042</v>
      </c>
      <c r="X106" s="65" t="n">
        <f aca="false">X9*(MIN(((Assumptions!$D$88*IF(Assumptions!X$206=2027,1+Assumptions!$F$193,1))/12),Assumptions!X$222)*Assumptions!$C$62+((Assumptions!$D$88*IF(Assumptions!X$206=2027,1+Assumptions!$F$193,1))/12)*Assumptions!$C$63+((Assumptions!$D$88*IF(Assumptions!X$206=2027,1+Assumptions!$F$193,1))/12)*Assumptions!$C$71*Assumptions!$C$70)</f>
        <v>9889.65320432642</v>
      </c>
      <c r="Y106" s="65" t="n">
        <f aca="false">Y9*(MIN(((Assumptions!$D$88*IF(Assumptions!Y$206=2027,1+Assumptions!$F$193,1))/12),Assumptions!Y$222)*Assumptions!$C$62+((Assumptions!$D$88*IF(Assumptions!Y$206=2027,1+Assumptions!$F$193,1))/12)*Assumptions!$C$63+((Assumptions!$D$88*IF(Assumptions!Y$206=2027,1+Assumptions!$F$193,1))/12)*Assumptions!$C$71*Assumptions!$C$70)</f>
        <v>9889.65320927044</v>
      </c>
      <c r="Z106" s="65" t="n">
        <f aca="false">Z9*(MIN(((Assumptions!$D$88*IF(Assumptions!Z$206=2027,1+Assumptions!$F$193,1))/12),Assumptions!Z$222)*Assumptions!$C$62+((Assumptions!$D$88*IF(Assumptions!Z$206=2027,1+Assumptions!$F$193,1))/12)*Assumptions!$C$63+((Assumptions!$D$88*IF(Assumptions!Z$206=2027,1+Assumptions!$F$193,1))/12)*Assumptions!$C$71*Assumptions!$C$70)</f>
        <v>9889.65320905336</v>
      </c>
      <c r="AA106" s="65" t="n">
        <f aca="false">AA9*(MIN(((Assumptions!$D$88*IF(Assumptions!AA$206=2027,1+Assumptions!$F$193,1))/12),Assumptions!AA$222)*Assumptions!$C$62+((Assumptions!$D$88*IF(Assumptions!AA$206=2027,1+Assumptions!$F$193,1))/12)*Assumptions!$C$63+((Assumptions!$D$88*IF(Assumptions!AA$206=2027,1+Assumptions!$F$193,1))/12)*Assumptions!$C$71*Assumptions!$C$70)</f>
        <v>9889.65320901397</v>
      </c>
      <c r="AB106" s="65" t="n">
        <f aca="false">AB9*(MIN(((Assumptions!$D$88*IF(Assumptions!AB$206=2027,1+Assumptions!$F$193,1))/12),Assumptions!AB$222)*Assumptions!$C$62+((Assumptions!$D$88*IF(Assumptions!AB$206=2027,1+Assumptions!$F$193,1))/12)*Assumptions!$C$63+((Assumptions!$D$88*IF(Assumptions!AB$206=2027,1+Assumptions!$F$193,1))/12)*Assumptions!$C$71*Assumptions!$C$70)</f>
        <v>9889.65320901611</v>
      </c>
    </row>
    <row r="107" customFormat="false" ht="15" hidden="false" customHeight="false" outlineLevel="0" collapsed="false">
      <c r="A107" s="28" t="s">
        <v>1193</v>
      </c>
      <c r="B107" s="62"/>
      <c r="C107" s="64" t="n">
        <f aca="false">SUM(E107:P107)</f>
        <v>127522.890931152</v>
      </c>
      <c r="D107" s="64" t="n">
        <f aca="false">SUM(Q107:AB107)</f>
        <v>147171.490413084</v>
      </c>
      <c r="E107" s="65" t="n">
        <f aca="false">E10*(MIN(((Assumptions!$D$89*IF(Assumptions!E$206=2027,1+Assumptions!$F$193,1))/12),Assumptions!E$222)*Assumptions!$C$62+((Assumptions!$D$89*IF(Assumptions!E$206=2027,1+Assumptions!$F$193,1))/12)*Assumptions!$C$63+((Assumptions!$D$89*IF(Assumptions!E$206=2027,1+Assumptions!$F$193,1))/12)*Assumptions!$C$71*Assumptions!$C$70)</f>
        <v>10139.92375</v>
      </c>
      <c r="F107" s="65" t="n">
        <f aca="false">F10*(MIN(((Assumptions!$D$89*IF(Assumptions!F$206=2027,1+Assumptions!$F$193,1))/12),Assumptions!F$222)*Assumptions!$C$62+((Assumptions!$D$89*IF(Assumptions!F$206=2027,1+Assumptions!$F$193,1))/12)*Assumptions!$C$63+((Assumptions!$D$89*IF(Assumptions!F$206=2027,1+Assumptions!$F$193,1))/12)*Assumptions!$C$71*Assumptions!$C$70)</f>
        <v>10139.92375</v>
      </c>
      <c r="G107" s="65" t="n">
        <f aca="false">G10*(MIN(((Assumptions!$D$89*IF(Assumptions!G$206=2027,1+Assumptions!$F$193,1))/12),Assumptions!G$222)*Assumptions!$C$62+((Assumptions!$D$89*IF(Assumptions!G$206=2027,1+Assumptions!$F$193,1))/12)*Assumptions!$C$63+((Assumptions!$D$89*IF(Assumptions!G$206=2027,1+Assumptions!$F$193,1))/12)*Assumptions!$C$71*Assumptions!$C$70)</f>
        <v>10139.92375</v>
      </c>
      <c r="H107" s="65" t="n">
        <f aca="false">H10*(MIN(((Assumptions!$D$89*IF(Assumptions!H$206=2027,1+Assumptions!$F$193,1))/12),Assumptions!H$222)*Assumptions!$C$62+((Assumptions!$D$89*IF(Assumptions!H$206=2027,1+Assumptions!$F$193,1))/12)*Assumptions!$C$63+((Assumptions!$D$89*IF(Assumptions!H$206=2027,1+Assumptions!$F$193,1))/12)*Assumptions!$C$71*Assumptions!$C$70)</f>
        <v>11061.735</v>
      </c>
      <c r="I107" s="65" t="n">
        <f aca="false">I10*(MIN(((Assumptions!$D$89*IF(Assumptions!I$206=2027,1+Assumptions!$F$193,1))/12),Assumptions!I$222)*Assumptions!$C$62+((Assumptions!$D$89*IF(Assumptions!I$206=2027,1+Assumptions!$F$193,1))/12)*Assumptions!$C$63+((Assumptions!$D$89*IF(Assumptions!I$206=2027,1+Assumptions!$F$193,1))/12)*Assumptions!$C$71*Assumptions!$C$70)</f>
        <v>11061.735</v>
      </c>
      <c r="J107" s="65" t="n">
        <f aca="false">J10*(MIN(((Assumptions!$D$89*IF(Assumptions!J$206=2027,1+Assumptions!$F$193,1))/12),Assumptions!J$222)*Assumptions!$C$62+((Assumptions!$D$89*IF(Assumptions!J$206=2027,1+Assumptions!$F$193,1))/12)*Assumptions!$C$63+((Assumptions!$D$89*IF(Assumptions!J$206=2027,1+Assumptions!$F$193,1))/12)*Assumptions!$C$71*Assumptions!$C$70)</f>
        <v>11061.735</v>
      </c>
      <c r="K107" s="65" t="n">
        <f aca="false">K10*(MIN(((Assumptions!$D$89*IF(Assumptions!K$206=2027,1+Assumptions!$F$193,1))/12),Assumptions!K$222)*Assumptions!$C$62+((Assumptions!$D$89*IF(Assumptions!K$206=2027,1+Assumptions!$F$193,1))/12)*Assumptions!$C$63+((Assumptions!$D$89*IF(Assumptions!K$206=2027,1+Assumptions!$F$193,1))/12)*Assumptions!$C$71*Assumptions!$C$70)</f>
        <v>11061.735</v>
      </c>
      <c r="L107" s="65" t="n">
        <f aca="false">L10*(MIN(((Assumptions!$D$89*IF(Assumptions!L$206=2027,1+Assumptions!$F$193,1))/12),Assumptions!L$222)*Assumptions!$C$62+((Assumptions!$D$89*IF(Assumptions!L$206=2027,1+Assumptions!$F$193,1))/12)*Assumptions!$C$63+((Assumptions!$D$89*IF(Assumptions!L$206=2027,1+Assumptions!$F$193,1))/12)*Assumptions!$C$71*Assumptions!$C$70)</f>
        <v>10139.92375</v>
      </c>
      <c r="M107" s="65" t="n">
        <f aca="false">M10*(MIN(((Assumptions!$D$89*IF(Assumptions!M$206=2027,1+Assumptions!$F$193,1))/12),Assumptions!M$222)*Assumptions!$C$62+((Assumptions!$D$89*IF(Assumptions!M$206=2027,1+Assumptions!$F$193,1))/12)*Assumptions!$C$63+((Assumptions!$D$89*IF(Assumptions!M$206=2027,1+Assumptions!$F$193,1))/12)*Assumptions!$C$71*Assumptions!$C$70)</f>
        <v>10055.4243854167</v>
      </c>
      <c r="N107" s="65" t="n">
        <f aca="false">N10*(MIN(((Assumptions!$D$89*IF(Assumptions!N$206=2027,1+Assumptions!$F$193,1))/12),Assumptions!N$222)*Assumptions!$C$62+((Assumptions!$D$89*IF(Assumptions!N$206=2027,1+Assumptions!$F$193,1))/12)*Assumptions!$C$63+((Assumptions!$D$89*IF(Assumptions!N$206=2027,1+Assumptions!$F$193,1))/12)*Assumptions!$C$71*Assumptions!$C$70)</f>
        <v>10893.4404322049</v>
      </c>
      <c r="O107" s="65" t="n">
        <f aca="false">O10*(MIN(((Assumptions!$D$89*IF(Assumptions!O$206=2027,1+Assumptions!$F$193,1))/12),Assumptions!O$222)*Assumptions!$C$62+((Assumptions!$D$89*IF(Assumptions!O$206=2027,1+Assumptions!$F$193,1))/12)*Assumptions!$C$63+((Assumptions!$D$89*IF(Assumptions!O$206=2027,1+Assumptions!$F$193,1))/12)*Assumptions!$C$71*Assumptions!$C$70)</f>
        <v>10887.1611265198</v>
      </c>
      <c r="P107" s="65" t="n">
        <f aca="false">P10*(MIN(((Assumptions!$D$89*IF(Assumptions!P$206=2027,1+Assumptions!$F$193,1))/12),Assumptions!P$222)*Assumptions!$C$62+((Assumptions!$D$89*IF(Assumptions!P$206=2027,1+Assumptions!$F$193,1))/12)*Assumptions!$C$63+((Assumptions!$D$89*IF(Assumptions!P$206=2027,1+Assumptions!$F$193,1))/12)*Assumptions!$C$71*Assumptions!$C$70)</f>
        <v>10880.2299870106</v>
      </c>
      <c r="Q107" s="65" t="n">
        <f aca="false">Q10*(MIN(((Assumptions!$D$89*IF(Assumptions!Q$206=2027,1+Assumptions!$F$193,1))/12),Assumptions!Q$222)*Assumptions!$C$62+((Assumptions!$D$89*IF(Assumptions!Q$206=2027,1+Assumptions!$F$193,1))/12)*Assumptions!$C$63+((Assumptions!$D$89*IF(Assumptions!Q$206=2027,1+Assumptions!$F$193,1))/12)*Assumptions!$C$71*Assumptions!$C$70)</f>
        <v>11174.0512284779</v>
      </c>
      <c r="R107" s="65" t="n">
        <f aca="false">R10*(MIN(((Assumptions!$D$89*IF(Assumptions!R$206=2027,1+Assumptions!$F$193,1))/12),Assumptions!R$222)*Assumptions!$C$62+((Assumptions!$D$89*IF(Assumptions!R$206=2027,1+Assumptions!$F$193,1))/12)*Assumptions!$C$63+((Assumptions!$D$89*IF(Assumptions!R$206=2027,1+Assumptions!$F$193,1))/12)*Assumptions!$C$71*Assumptions!$C$70)</f>
        <v>11174.1096050154</v>
      </c>
      <c r="S107" s="65" t="n">
        <f aca="false">S10*(MIN(((Assumptions!$D$89*IF(Assumptions!S$206=2027,1+Assumptions!$F$193,1))/12),Assumptions!S$222)*Assumptions!$C$62+((Assumptions!$D$89*IF(Assumptions!S$206=2027,1+Assumptions!$F$193,1))/12)*Assumptions!$C$63+((Assumptions!$D$89*IF(Assumptions!S$206=2027,1+Assumptions!$F$193,1))/12)*Assumptions!$C$71*Assumptions!$C$70)</f>
        <v>12120.8034138876</v>
      </c>
      <c r="T107" s="65" t="n">
        <f aca="false">T10*(MIN(((Assumptions!$D$89*IF(Assumptions!T$206=2027,1+Assumptions!$F$193,1))/12),Assumptions!T$222)*Assumptions!$C$62+((Assumptions!$D$89*IF(Assumptions!T$206=2027,1+Assumptions!$F$193,1))/12)*Assumptions!$C$63+((Assumptions!$D$89*IF(Assumptions!T$206=2027,1+Assumptions!$F$193,1))/12)*Assumptions!$C$71*Assumptions!$C$70)</f>
        <v>12112.9138123425</v>
      </c>
      <c r="U107" s="65" t="n">
        <f aca="false">U10*(MIN(((Assumptions!$D$89*IF(Assumptions!U$206=2027,1+Assumptions!$F$193,1))/12),Assumptions!U$222)*Assumptions!$C$62+((Assumptions!$D$89*IF(Assumptions!U$206=2027,1+Assumptions!$F$193,1))/12)*Assumptions!$C$63+((Assumptions!$D$89*IF(Assumptions!U$206=2027,1+Assumptions!$F$193,1))/12)*Assumptions!$C$71*Assumptions!$C$70)</f>
        <v>12105.0904439481</v>
      </c>
      <c r="V107" s="65" t="n">
        <f aca="false">V10*(MIN(((Assumptions!$D$89*IF(Assumptions!V$206=2027,1+Assumptions!$F$193,1))/12),Assumptions!V$222)*Assumptions!$C$62+((Assumptions!$D$89*IF(Assumptions!V$206=2027,1+Assumptions!$F$193,1))/12)*Assumptions!$C$63+((Assumptions!$D$89*IF(Assumptions!V$206=2027,1+Assumptions!$F$193,1))/12)*Assumptions!$C$71*Assumptions!$C$70)</f>
        <v>12105.2213853642</v>
      </c>
      <c r="W107" s="65" t="n">
        <f aca="false">W10*(MIN(((Assumptions!$D$89*IF(Assumptions!W$206=2027,1+Assumptions!$F$193,1))/12),Assumptions!W$222)*Assumptions!$C$62+((Assumptions!$D$89*IF(Assumptions!W$206=2027,1+Assumptions!$F$193,1))/12)*Assumptions!$C$63+((Assumptions!$D$89*IF(Assumptions!W$206=2027,1+Assumptions!$F$193,1))/12)*Assumptions!$C$71*Assumptions!$C$70)</f>
        <v>12105.2854889224</v>
      </c>
      <c r="X107" s="65" t="n">
        <f aca="false">X10*(MIN(((Assumptions!$D$89*IF(Assumptions!X$206=2027,1+Assumptions!$F$193,1))/12),Assumptions!X$222)*Assumptions!$C$62+((Assumptions!$D$89*IF(Assumptions!X$206=2027,1+Assumptions!$F$193,1))/12)*Assumptions!$C$63+((Assumptions!$D$89*IF(Assumptions!X$206=2027,1+Assumptions!$F$193,1))/12)*Assumptions!$C$71*Assumptions!$C$70)</f>
        <v>12105.2838635476</v>
      </c>
      <c r="Y107" s="65" t="n">
        <f aca="false">Y10*(MIN(((Assumptions!$D$89*IF(Assumptions!Y$206=2027,1+Assumptions!$F$193,1))/12),Assumptions!Y$222)*Assumptions!$C$62+((Assumptions!$D$89*IF(Assumptions!Y$206=2027,1+Assumptions!$F$193,1))/12)*Assumptions!$C$63+((Assumptions!$D$89*IF(Assumptions!Y$206=2027,1+Assumptions!$F$193,1))/12)*Assumptions!$C$71*Assumptions!$C$70)</f>
        <v>13051.9785803961</v>
      </c>
      <c r="Z107" s="65" t="n">
        <f aca="false">Z10*(MIN(((Assumptions!$D$89*IF(Assumptions!Z$206=2027,1+Assumptions!$F$193,1))/12),Assumptions!Z$222)*Assumptions!$C$62+((Assumptions!$D$89*IF(Assumptions!Z$206=2027,1+Assumptions!$F$193,1))/12)*Assumptions!$C$63+((Assumptions!$D$89*IF(Assumptions!Z$206=2027,1+Assumptions!$F$193,1))/12)*Assumptions!$C$71*Assumptions!$C$70)</f>
        <v>13044.0894713005</v>
      </c>
      <c r="AA107" s="65" t="n">
        <f aca="false">AA10*(MIN(((Assumptions!$D$89*IF(Assumptions!AA$206=2027,1+Assumptions!$F$193,1))/12),Assumptions!AA$222)*Assumptions!$C$62+((Assumptions!$D$89*IF(Assumptions!AA$206=2027,1+Assumptions!$F$193,1))/12)*Assumptions!$C$63+((Assumptions!$D$89*IF(Assumptions!AA$206=2027,1+Assumptions!$F$193,1))/12)*Assumptions!$C$71*Assumptions!$C$70)</f>
        <v>13036.2660912359</v>
      </c>
      <c r="AB107" s="65" t="n">
        <f aca="false">AB10*(MIN(((Assumptions!$D$89*IF(Assumptions!AB$206=2027,1+Assumptions!$F$193,1))/12),Assumptions!AB$222)*Assumptions!$C$62+((Assumptions!$D$89*IF(Assumptions!AB$206=2027,1+Assumptions!$F$193,1))/12)*Assumptions!$C$63+((Assumptions!$D$89*IF(Assumptions!AB$206=2027,1+Assumptions!$F$193,1))/12)*Assumptions!$C$71*Assumptions!$C$70)</f>
        <v>13036.3970286455</v>
      </c>
    </row>
    <row r="108" customFormat="false" ht="15" hidden="false" customHeight="false" outlineLevel="0" collapsed="false">
      <c r="A108" s="28" t="s">
        <v>1194</v>
      </c>
      <c r="B108" s="62"/>
      <c r="C108" s="64" t="n">
        <f aca="false">SUM(E108:P108)</f>
        <v>140483.453562471</v>
      </c>
      <c r="D108" s="64" t="n">
        <f aca="false">SUM(Q108:AB108)</f>
        <v>172020.797539092</v>
      </c>
      <c r="E108" s="65" t="n">
        <f aca="false">E11*(MIN(((Assumptions!$D$90*IF(Assumptions!E$206=2027,1+Assumptions!$F$193,1))/12),Assumptions!E$222)*Assumptions!$C$62+((Assumptions!$D$90*IF(Assumptions!E$206=2027,1+Assumptions!$F$193,1))/12)*Assumptions!$C$63+((Assumptions!$D$90*IF(Assumptions!E$206=2027,1+Assumptions!$F$193,1))/12)*Assumptions!$C$71*Assumptions!$C$70)</f>
        <v>11122.9245833333</v>
      </c>
      <c r="F108" s="65" t="n">
        <f aca="false">F11*(MIN(((Assumptions!$D$90*IF(Assumptions!F$206=2027,1+Assumptions!$F$193,1))/12),Assumptions!F$222)*Assumptions!$C$62+((Assumptions!$D$90*IF(Assumptions!F$206=2027,1+Assumptions!$F$193,1))/12)*Assumptions!$C$63+((Assumptions!$D$90*IF(Assumptions!F$206=2027,1+Assumptions!$F$193,1))/12)*Assumptions!$C$71*Assumptions!$C$70)</f>
        <v>11122.9245833333</v>
      </c>
      <c r="G108" s="65" t="n">
        <f aca="false">G11*(MIN(((Assumptions!$D$90*IF(Assumptions!G$206=2027,1+Assumptions!$F$193,1))/12),Assumptions!G$222)*Assumptions!$C$62+((Assumptions!$D$90*IF(Assumptions!G$206=2027,1+Assumptions!$F$193,1))/12)*Assumptions!$C$63+((Assumptions!$D$90*IF(Assumptions!G$206=2027,1+Assumptions!$F$193,1))/12)*Assumptions!$C$71*Assumptions!$C$70)</f>
        <v>11978.5341666667</v>
      </c>
      <c r="H108" s="65" t="n">
        <f aca="false">H11*(MIN(((Assumptions!$D$90*IF(Assumptions!H$206=2027,1+Assumptions!$F$193,1))/12),Assumptions!H$222)*Assumptions!$C$62+((Assumptions!$D$90*IF(Assumptions!H$206=2027,1+Assumptions!$F$193,1))/12)*Assumptions!$C$63+((Assumptions!$D$90*IF(Assumptions!H$206=2027,1+Assumptions!$F$193,1))/12)*Assumptions!$C$71*Assumptions!$C$70)</f>
        <v>11978.5341666667</v>
      </c>
      <c r="I108" s="65" t="n">
        <f aca="false">I11*(MIN(((Assumptions!$D$90*IF(Assumptions!I$206=2027,1+Assumptions!$F$193,1))/12),Assumptions!I$222)*Assumptions!$C$62+((Assumptions!$D$90*IF(Assumptions!I$206=2027,1+Assumptions!$F$193,1))/12)*Assumptions!$C$63+((Assumptions!$D$90*IF(Assumptions!I$206=2027,1+Assumptions!$F$193,1))/12)*Assumptions!$C$71*Assumptions!$C$70)</f>
        <v>11122.9245833333</v>
      </c>
      <c r="J108" s="65" t="n">
        <f aca="false">J11*(MIN(((Assumptions!$D$90*IF(Assumptions!J$206=2027,1+Assumptions!$F$193,1))/12),Assumptions!J$222)*Assumptions!$C$62+((Assumptions!$D$90*IF(Assumptions!J$206=2027,1+Assumptions!$F$193,1))/12)*Assumptions!$C$63+((Assumptions!$D$90*IF(Assumptions!J$206=2027,1+Assumptions!$F$193,1))/12)*Assumptions!$C$71*Assumptions!$C$70)</f>
        <v>11978.5341666667</v>
      </c>
      <c r="K108" s="65" t="n">
        <f aca="false">K11*(MIN(((Assumptions!$D$90*IF(Assumptions!K$206=2027,1+Assumptions!$F$193,1))/12),Assumptions!K$222)*Assumptions!$C$62+((Assumptions!$D$90*IF(Assumptions!K$206=2027,1+Assumptions!$F$193,1))/12)*Assumptions!$C$63+((Assumptions!$D$90*IF(Assumptions!K$206=2027,1+Assumptions!$F$193,1))/12)*Assumptions!$C$71*Assumptions!$C$70)</f>
        <v>11978.5341666667</v>
      </c>
      <c r="L108" s="65" t="n">
        <f aca="false">L11*(MIN(((Assumptions!$D$90*IF(Assumptions!L$206=2027,1+Assumptions!$F$193,1))/12),Assumptions!L$222)*Assumptions!$C$62+((Assumptions!$D$90*IF(Assumptions!L$206=2027,1+Assumptions!$F$193,1))/12)*Assumptions!$C$63+((Assumptions!$D$90*IF(Assumptions!L$206=2027,1+Assumptions!$F$193,1))/12)*Assumptions!$C$71*Assumptions!$C$70)</f>
        <v>11978.5341666667</v>
      </c>
      <c r="M108" s="65" t="n">
        <f aca="false">M11*(MIN(((Assumptions!$D$90*IF(Assumptions!M$206=2027,1+Assumptions!$F$193,1))/12),Assumptions!M$222)*Assumptions!$C$62+((Assumptions!$D$90*IF(Assumptions!M$206=2027,1+Assumptions!$F$193,1))/12)*Assumptions!$C$63+((Assumptions!$D$90*IF(Assumptions!M$206=2027,1+Assumptions!$F$193,1))/12)*Assumptions!$C$71*Assumptions!$C$70)</f>
        <v>11878.7130486111</v>
      </c>
      <c r="N108" s="65" t="n">
        <f aca="false">N11*(MIN(((Assumptions!$D$90*IF(Assumptions!N$206=2027,1+Assumptions!$F$193,1))/12),Assumptions!N$222)*Assumptions!$C$62+((Assumptions!$D$90*IF(Assumptions!N$206=2027,1+Assumptions!$F$193,1))/12)*Assumptions!$C$63+((Assumptions!$D$90*IF(Assumptions!N$206=2027,1+Assumptions!$F$193,1))/12)*Assumptions!$C$71*Assumptions!$C$70)</f>
        <v>11779.723773206</v>
      </c>
      <c r="O108" s="65" t="n">
        <f aca="false">O11*(MIN(((Assumptions!$D$90*IF(Assumptions!O$206=2027,1+Assumptions!$F$193,1))/12),Assumptions!O$222)*Assumptions!$C$62+((Assumptions!$D$90*IF(Assumptions!O$206=2027,1+Assumptions!$F$193,1))/12)*Assumptions!$C$63+((Assumptions!$D$90*IF(Assumptions!O$206=2027,1+Assumptions!$F$193,1))/12)*Assumptions!$C$71*Assumptions!$C$70)</f>
        <v>11781.3805264849</v>
      </c>
      <c r="P108" s="65" t="n">
        <f aca="false">P11*(MIN(((Assumptions!$D$90*IF(Assumptions!P$206=2027,1+Assumptions!$F$193,1))/12),Assumptions!P$222)*Assumptions!$C$62+((Assumptions!$D$90*IF(Assumptions!P$206=2027,1+Assumptions!$F$193,1))/12)*Assumptions!$C$63+((Assumptions!$D$90*IF(Assumptions!P$206=2027,1+Assumptions!$F$193,1))/12)*Assumptions!$C$71*Assumptions!$C$70)</f>
        <v>11782.1916308359</v>
      </c>
      <c r="Q108" s="65" t="n">
        <f aca="false">Q11*(MIN(((Assumptions!$D$90*IF(Assumptions!Q$206=2027,1+Assumptions!$F$193,1))/12),Assumptions!Q$222)*Assumptions!$C$62+((Assumptions!$D$90*IF(Assumptions!Q$206=2027,1+Assumptions!$F$193,1))/12)*Assumptions!$C$63+((Assumptions!$D$90*IF(Assumptions!Q$206=2027,1+Assumptions!$F$193,1))/12)*Assumptions!$C$71*Assumptions!$C$70)</f>
        <v>13854.5021365808</v>
      </c>
      <c r="R108" s="65" t="n">
        <f aca="false">R11*(MIN(((Assumptions!$D$90*IF(Assumptions!R$206=2027,1+Assumptions!$F$193,1))/12),Assumptions!R$222)*Assumptions!$C$62+((Assumptions!$D$90*IF(Assumptions!R$206=2027,1+Assumptions!$F$193,1))/12)*Assumptions!$C$63+((Assumptions!$D$90*IF(Assumptions!R$206=2027,1+Assumptions!$F$193,1))/12)*Assumptions!$C$71*Assumptions!$C$70)</f>
        <v>13839.8535804387</v>
      </c>
      <c r="S108" s="65" t="n">
        <f aca="false">S11*(MIN(((Assumptions!$D$90*IF(Assumptions!S$206=2027,1+Assumptions!$F$193,1))/12),Assumptions!S$222)*Assumptions!$C$62+((Assumptions!$D$90*IF(Assumptions!S$206=2027,1+Assumptions!$F$193,1))/12)*Assumptions!$C$63+((Assumptions!$D$90*IF(Assumptions!S$206=2027,1+Assumptions!$F$193,1))/12)*Assumptions!$C$71*Assumptions!$C$70)</f>
        <v>13825.3340356915</v>
      </c>
      <c r="T108" s="65" t="n">
        <f aca="false">T11*(MIN(((Assumptions!$D$90*IF(Assumptions!T$206=2027,1+Assumptions!$F$193,1))/12),Assumptions!T$222)*Assumptions!$C$62+((Assumptions!$D$90*IF(Assumptions!T$206=2027,1+Assumptions!$F$193,1))/12)*Assumptions!$C$63+((Assumptions!$D$90*IF(Assumptions!T$206=2027,1+Assumptions!$F$193,1))/12)*Assumptions!$C$71*Assumptions!$C$70)</f>
        <v>13825.5771031989</v>
      </c>
      <c r="U108" s="65" t="n">
        <f aca="false">U11*(MIN(((Assumptions!$D$90*IF(Assumptions!U$206=2027,1+Assumptions!$F$193,1))/12),Assumptions!U$222)*Assumptions!$C$62+((Assumptions!$D$90*IF(Assumptions!U$206=2027,1+Assumptions!$F$193,1))/12)*Assumptions!$C$63+((Assumptions!$D$90*IF(Assumptions!U$206=2027,1+Assumptions!$F$193,1))/12)*Assumptions!$C$71*Assumptions!$C$70)</f>
        <v>13825.6960738426</v>
      </c>
      <c r="V108" s="65" t="n">
        <f aca="false">V11*(MIN(((Assumptions!$D$90*IF(Assumptions!V$206=2027,1+Assumptions!$F$193,1))/12),Assumptions!V$222)*Assumptions!$C$62+((Assumptions!$D$90*IF(Assumptions!V$206=2027,1+Assumptions!$F$193,1))/12)*Assumptions!$C$63+((Assumptions!$D$90*IF(Assumptions!V$206=2027,1+Assumptions!$F$193,1))/12)*Assumptions!$C$71*Assumptions!$C$70)</f>
        <v>14704.2005776913</v>
      </c>
      <c r="W108" s="65" t="n">
        <f aca="false">W11*(MIN(((Assumptions!$D$90*IF(Assumptions!W$206=2027,1+Assumptions!$F$193,1))/12),Assumptions!W$222)*Assumptions!$C$62+((Assumptions!$D$90*IF(Assumptions!W$206=2027,1+Assumptions!$F$193,1))/12)*Assumptions!$C$63+((Assumptions!$D$90*IF(Assumptions!W$206=2027,1+Assumptions!$F$193,1))/12)*Assumptions!$C$71*Assumptions!$C$70)</f>
        <v>14696.8787154039</v>
      </c>
      <c r="X108" s="65" t="n">
        <f aca="false">X11*(MIN(((Assumptions!$D$90*IF(Assumptions!X$206=2027,1+Assumptions!$F$193,1))/12),Assumptions!X$222)*Assumptions!$C$62+((Assumptions!$D$90*IF(Assumptions!X$206=2027,1+Assumptions!$F$193,1))/12)*Assumptions!$C$63+((Assumptions!$D$90*IF(Assumptions!X$206=2027,1+Assumptions!$F$193,1))/12)*Assumptions!$C$71*Assumptions!$C$70)</f>
        <v>14689.6188600575</v>
      </c>
      <c r="Y108" s="65" t="n">
        <f aca="false">Y11*(MIN(((Assumptions!$D$90*IF(Assumptions!Y$206=2027,1+Assumptions!$F$193,1))/12),Assumptions!Y$222)*Assumptions!$C$62+((Assumptions!$D$90*IF(Assumptions!Y$206=2027,1+Assumptions!$F$193,1))/12)*Assumptions!$C$63+((Assumptions!$D$90*IF(Assumptions!Y$206=2027,1+Assumptions!$F$193,1))/12)*Assumptions!$C$71*Assumptions!$C$70)</f>
        <v>14689.7403743712</v>
      </c>
      <c r="Z108" s="65" t="n">
        <f aca="false">Z11*(MIN(((Assumptions!$D$90*IF(Assumptions!Z$206=2027,1+Assumptions!$F$193,1))/12),Assumptions!Z$222)*Assumptions!$C$62+((Assumptions!$D$90*IF(Assumptions!Z$206=2027,1+Assumptions!$F$193,1))/12)*Assumptions!$C$63+((Assumptions!$D$90*IF(Assumptions!Z$206=2027,1+Assumptions!$F$193,1))/12)*Assumptions!$C$71*Assumptions!$C$70)</f>
        <v>14689.7998605464</v>
      </c>
      <c r="AA108" s="65" t="n">
        <f aca="false">AA11*(MIN(((Assumptions!$D$90*IF(Assumptions!AA$206=2027,1+Assumptions!$F$193,1))/12),Assumptions!AA$222)*Assumptions!$C$62+((Assumptions!$D$90*IF(Assumptions!AA$206=2027,1+Assumptions!$F$193,1))/12)*Assumptions!$C$63+((Assumptions!$D$90*IF(Assumptions!AA$206=2027,1+Assumptions!$F$193,1))/12)*Assumptions!$C$71*Assumptions!$C$70)</f>
        <v>14689.798352209</v>
      </c>
      <c r="AB108" s="65" t="n">
        <f aca="false">AB11*(MIN(((Assumptions!$D$90*IF(Assumptions!AB$206=2027,1+Assumptions!$F$193,1))/12),Assumptions!AB$222)*Assumptions!$C$62+((Assumptions!$D$90*IF(Assumptions!AB$206=2027,1+Assumptions!$F$193,1))/12)*Assumptions!$C$63+((Assumptions!$D$90*IF(Assumptions!AB$206=2027,1+Assumptions!$F$193,1))/12)*Assumptions!$C$71*Assumptions!$C$70)</f>
        <v>14689.7978690604</v>
      </c>
    </row>
    <row r="109" customFormat="false" ht="15" hidden="false" customHeight="false" outlineLevel="0" collapsed="false">
      <c r="A109" s="28" t="s">
        <v>1195</v>
      </c>
      <c r="B109" s="62"/>
      <c r="C109" s="64" t="n">
        <f aca="false">SUM(E109:P109)</f>
        <v>46959.650160404</v>
      </c>
      <c r="D109" s="64" t="n">
        <f aca="false">SUM(Q109:AB109)</f>
        <v>47707.6059137911</v>
      </c>
      <c r="E109" s="65" t="n">
        <f aca="false">E12*(MIN(((Assumptions!$D$91*IF(Assumptions!E$206=2027,1+Assumptions!$F$193,1))/12),Assumptions!E$222)*Assumptions!$C$62+((Assumptions!$D$91*IF(Assumptions!E$206=2027,1+Assumptions!$F$193,1))/12)*Assumptions!$C$63+((Assumptions!$D$91*IF(Assumptions!E$206=2027,1+Assumptions!$F$193,1))/12)*Assumptions!$C$71*Assumptions!$C$70)</f>
        <v>3932.238125</v>
      </c>
      <c r="F109" s="65" t="n">
        <f aca="false">F12*(MIN(((Assumptions!$D$91*IF(Assumptions!F$206=2027,1+Assumptions!$F$193,1))/12),Assumptions!F$222)*Assumptions!$C$62+((Assumptions!$D$91*IF(Assumptions!F$206=2027,1+Assumptions!$F$193,1))/12)*Assumptions!$C$63+((Assumptions!$D$91*IF(Assumptions!F$206=2027,1+Assumptions!$F$193,1))/12)*Assumptions!$C$71*Assumptions!$C$70)</f>
        <v>3932.238125</v>
      </c>
      <c r="G109" s="65" t="n">
        <f aca="false">G12*(MIN(((Assumptions!$D$91*IF(Assumptions!G$206=2027,1+Assumptions!$F$193,1))/12),Assumptions!G$222)*Assumptions!$C$62+((Assumptions!$D$91*IF(Assumptions!G$206=2027,1+Assumptions!$F$193,1))/12)*Assumptions!$C$63+((Assumptions!$D$91*IF(Assumptions!G$206=2027,1+Assumptions!$F$193,1))/12)*Assumptions!$C$71*Assumptions!$C$70)</f>
        <v>3932.238125</v>
      </c>
      <c r="H109" s="65" t="n">
        <f aca="false">H12*(MIN(((Assumptions!$D$91*IF(Assumptions!H$206=2027,1+Assumptions!$F$193,1))/12),Assumptions!H$222)*Assumptions!$C$62+((Assumptions!$D$91*IF(Assumptions!H$206=2027,1+Assumptions!$F$193,1))/12)*Assumptions!$C$63+((Assumptions!$D$91*IF(Assumptions!H$206=2027,1+Assumptions!$F$193,1))/12)*Assumptions!$C$71*Assumptions!$C$70)</f>
        <v>3932.238125</v>
      </c>
      <c r="I109" s="65" t="n">
        <f aca="false">I12*(MIN(((Assumptions!$D$91*IF(Assumptions!I$206=2027,1+Assumptions!$F$193,1))/12),Assumptions!I$222)*Assumptions!$C$62+((Assumptions!$D$91*IF(Assumptions!I$206=2027,1+Assumptions!$F$193,1))/12)*Assumptions!$C$63+((Assumptions!$D$91*IF(Assumptions!I$206=2027,1+Assumptions!$F$193,1))/12)*Assumptions!$C$71*Assumptions!$C$70)</f>
        <v>3932.238125</v>
      </c>
      <c r="J109" s="65" t="n">
        <f aca="false">J12*(MIN(((Assumptions!$D$91*IF(Assumptions!J$206=2027,1+Assumptions!$F$193,1))/12),Assumptions!J$222)*Assumptions!$C$62+((Assumptions!$D$91*IF(Assumptions!J$206=2027,1+Assumptions!$F$193,1))/12)*Assumptions!$C$63+((Assumptions!$D$91*IF(Assumptions!J$206=2027,1+Assumptions!$F$193,1))/12)*Assumptions!$C$71*Assumptions!$C$70)</f>
        <v>3932.238125</v>
      </c>
      <c r="K109" s="65" t="n">
        <f aca="false">K12*(MIN(((Assumptions!$D$91*IF(Assumptions!K$206=2027,1+Assumptions!$F$193,1))/12),Assumptions!K$222)*Assumptions!$C$62+((Assumptions!$D$91*IF(Assumptions!K$206=2027,1+Assumptions!$F$193,1))/12)*Assumptions!$C$63+((Assumptions!$D$91*IF(Assumptions!K$206=2027,1+Assumptions!$F$193,1))/12)*Assumptions!$C$71*Assumptions!$C$70)</f>
        <v>3932.238125</v>
      </c>
      <c r="L109" s="65" t="n">
        <f aca="false">L12*(MIN(((Assumptions!$D$91*IF(Assumptions!L$206=2027,1+Assumptions!$F$193,1))/12),Assumptions!L$222)*Assumptions!$C$62+((Assumptions!$D$91*IF(Assumptions!L$206=2027,1+Assumptions!$F$193,1))/12)*Assumptions!$C$63+((Assumptions!$D$91*IF(Assumptions!L$206=2027,1+Assumptions!$F$193,1))/12)*Assumptions!$C$71*Assumptions!$C$70)</f>
        <v>3932.238125</v>
      </c>
      <c r="M109" s="65" t="n">
        <f aca="false">M12*(MIN(((Assumptions!$D$91*IF(Assumptions!M$206=2027,1+Assumptions!$F$193,1))/12),Assumptions!M$222)*Assumptions!$C$62+((Assumptions!$D$91*IF(Assumptions!M$206=2027,1+Assumptions!$F$193,1))/12)*Assumptions!$C$63+((Assumptions!$D$91*IF(Assumptions!M$206=2027,1+Assumptions!$F$193,1))/12)*Assumptions!$C$71*Assumptions!$C$70)</f>
        <v>3899.46947395833</v>
      </c>
      <c r="N109" s="65" t="n">
        <f aca="false">N12*(MIN(((Assumptions!$D$91*IF(Assumptions!N$206=2027,1+Assumptions!$F$193,1))/12),Assumptions!N$222)*Assumptions!$C$62+((Assumptions!$D$91*IF(Assumptions!N$206=2027,1+Assumptions!$F$193,1))/12)*Assumptions!$C$63+((Assumptions!$D$91*IF(Assumptions!N$206=2027,1+Assumptions!$F$193,1))/12)*Assumptions!$C$71*Assumptions!$C$70)</f>
        <v>3866.97389500868</v>
      </c>
      <c r="O109" s="65" t="n">
        <f aca="false">O12*(MIN(((Assumptions!$D$91*IF(Assumptions!O$206=2027,1+Assumptions!$F$193,1))/12),Assumptions!O$222)*Assumptions!$C$62+((Assumptions!$D$91*IF(Assumptions!O$206=2027,1+Assumptions!$F$193,1))/12)*Assumptions!$C$63+((Assumptions!$D$91*IF(Assumptions!O$206=2027,1+Assumptions!$F$193,1))/12)*Assumptions!$C$71*Assumptions!$C$70)</f>
        <v>3867.51776359194</v>
      </c>
      <c r="P109" s="65" t="n">
        <f aca="false">P12*(MIN(((Assumptions!$D$91*IF(Assumptions!P$206=2027,1+Assumptions!$F$193,1))/12),Assumptions!P$222)*Assumptions!$C$62+((Assumptions!$D$91*IF(Assumptions!P$206=2027,1+Assumptions!$F$193,1))/12)*Assumptions!$C$63+((Assumptions!$D$91*IF(Assumptions!P$206=2027,1+Assumptions!$F$193,1))/12)*Assumptions!$C$71*Assumptions!$C$70)</f>
        <v>3867.784027845</v>
      </c>
      <c r="Q109" s="65" t="n">
        <f aca="false">Q12*(MIN(((Assumptions!$D$91*IF(Assumptions!Q$206=2027,1+Assumptions!$F$193,1))/12),Assumptions!Q$222)*Assumptions!$C$62+((Assumptions!$D$91*IF(Assumptions!Q$206=2027,1+Assumptions!$F$193,1))/12)*Assumptions!$C$63+((Assumptions!$D$91*IF(Assumptions!Q$206=2027,1+Assumptions!$F$193,1))/12)*Assumptions!$C$71*Assumptions!$C$70)</f>
        <v>3975.63578738255</v>
      </c>
      <c r="R109" s="65" t="n">
        <f aca="false">R12*(MIN(((Assumptions!$D$91*IF(Assumptions!R$206=2027,1+Assumptions!$F$193,1))/12),Assumptions!R$222)*Assumptions!$C$62+((Assumptions!$D$91*IF(Assumptions!R$206=2027,1+Assumptions!$F$193,1))/12)*Assumptions!$C$63+((Assumptions!$D$91*IF(Assumptions!R$206=2027,1+Assumptions!$F$193,1))/12)*Assumptions!$C$71*Assumptions!$C$70)</f>
        <v>3975.63356446553</v>
      </c>
      <c r="S109" s="65" t="n">
        <f aca="false">S12*(MIN(((Assumptions!$D$91*IF(Assumptions!S$206=2027,1+Assumptions!$F$193,1))/12),Assumptions!S$222)*Assumptions!$C$62+((Assumptions!$D$91*IF(Assumptions!S$206=2027,1+Assumptions!$F$193,1))/12)*Assumptions!$C$63+((Assumptions!$D$91*IF(Assumptions!S$206=2027,1+Assumptions!$F$193,1))/12)*Assumptions!$C$71*Assumptions!$C$70)</f>
        <v>3975.63364081793</v>
      </c>
      <c r="T109" s="65" t="n">
        <f aca="false">T12*(MIN(((Assumptions!$D$91*IF(Assumptions!T$206=2027,1+Assumptions!$F$193,1))/12),Assumptions!T$222)*Assumptions!$C$62+((Assumptions!$D$91*IF(Assumptions!T$206=2027,1+Assumptions!$F$193,1))/12)*Assumptions!$C$63+((Assumptions!$D$91*IF(Assumptions!T$206=2027,1+Assumptions!$F$193,1))/12)*Assumptions!$C$71*Assumptions!$C$70)</f>
        <v>3975.63365870597</v>
      </c>
      <c r="U109" s="65" t="n">
        <f aca="false">U12*(MIN(((Assumptions!$D$91*IF(Assumptions!U$206=2027,1+Assumptions!$F$193,1))/12),Assumptions!U$222)*Assumptions!$C$62+((Assumptions!$D$91*IF(Assumptions!U$206=2027,1+Assumptions!$F$193,1))/12)*Assumptions!$C$63+((Assumptions!$D$91*IF(Assumptions!U$206=2027,1+Assumptions!$F$193,1))/12)*Assumptions!$C$71*Assumptions!$C$70)</f>
        <v>3975.63365792063</v>
      </c>
      <c r="V109" s="65" t="n">
        <f aca="false">V12*(MIN(((Assumptions!$D$91*IF(Assumptions!V$206=2027,1+Assumptions!$F$193,1))/12),Assumptions!V$222)*Assumptions!$C$62+((Assumptions!$D$91*IF(Assumptions!V$206=2027,1+Assumptions!$F$193,1))/12)*Assumptions!$C$63+((Assumptions!$D$91*IF(Assumptions!V$206=2027,1+Assumptions!$F$193,1))/12)*Assumptions!$C$71*Assumptions!$C$70)</f>
        <v>3975.63365777811</v>
      </c>
      <c r="W109" s="65" t="n">
        <f aca="false">W12*(MIN(((Assumptions!$D$91*IF(Assumptions!W$206=2027,1+Assumptions!$F$193,1))/12),Assumptions!W$222)*Assumptions!$C$62+((Assumptions!$D$91*IF(Assumptions!W$206=2027,1+Assumptions!$F$193,1))/12)*Assumptions!$C$63+((Assumptions!$D$91*IF(Assumptions!W$206=2027,1+Assumptions!$F$193,1))/12)*Assumptions!$C$71*Assumptions!$C$70)</f>
        <v>3975.63365778584</v>
      </c>
      <c r="X109" s="65" t="n">
        <f aca="false">X12*(MIN(((Assumptions!$D$91*IF(Assumptions!X$206=2027,1+Assumptions!$F$193,1))/12),Assumptions!X$222)*Assumptions!$C$62+((Assumptions!$D$91*IF(Assumptions!X$206=2027,1+Assumptions!$F$193,1))/12)*Assumptions!$C$63+((Assumptions!$D$91*IF(Assumptions!X$206=2027,1+Assumptions!$F$193,1))/12)*Assumptions!$C$71*Assumptions!$C$70)</f>
        <v>3975.63365778697</v>
      </c>
      <c r="Y109" s="65" t="n">
        <f aca="false">Y12*(MIN(((Assumptions!$D$91*IF(Assumptions!Y$206=2027,1+Assumptions!$F$193,1))/12),Assumptions!Y$222)*Assumptions!$C$62+((Assumptions!$D$91*IF(Assumptions!Y$206=2027,1+Assumptions!$F$193,1))/12)*Assumptions!$C$63+((Assumptions!$D$91*IF(Assumptions!Y$206=2027,1+Assumptions!$F$193,1))/12)*Assumptions!$C$71*Assumptions!$C$70)</f>
        <v>3975.63365778689</v>
      </c>
      <c r="Z109" s="65" t="n">
        <f aca="false">Z12*(MIN(((Assumptions!$D$91*IF(Assumptions!Z$206=2027,1+Assumptions!$F$193,1))/12),Assumptions!Z$222)*Assumptions!$C$62+((Assumptions!$D$91*IF(Assumptions!Z$206=2027,1+Assumptions!$F$193,1))/12)*Assumptions!$C$63+((Assumptions!$D$91*IF(Assumptions!Z$206=2027,1+Assumptions!$F$193,1))/12)*Assumptions!$C$71*Assumptions!$C$70)</f>
        <v>3975.63365778688</v>
      </c>
      <c r="AA109" s="65" t="n">
        <f aca="false">AA12*(MIN(((Assumptions!$D$91*IF(Assumptions!AA$206=2027,1+Assumptions!$F$193,1))/12),Assumptions!AA$222)*Assumptions!$C$62+((Assumptions!$D$91*IF(Assumptions!AA$206=2027,1+Assumptions!$F$193,1))/12)*Assumptions!$C$63+((Assumptions!$D$91*IF(Assumptions!AA$206=2027,1+Assumptions!$F$193,1))/12)*Assumptions!$C$71*Assumptions!$C$70)</f>
        <v>3975.63365778689</v>
      </c>
      <c r="AB109" s="65" t="n">
        <f aca="false">AB12*(MIN(((Assumptions!$D$91*IF(Assumptions!AB$206=2027,1+Assumptions!$F$193,1))/12),Assumptions!AB$222)*Assumptions!$C$62+((Assumptions!$D$91*IF(Assumptions!AB$206=2027,1+Assumptions!$F$193,1))/12)*Assumptions!$C$63+((Assumptions!$D$91*IF(Assumptions!AB$206=2027,1+Assumptions!$F$193,1))/12)*Assumptions!$C$71*Assumptions!$C$70)</f>
        <v>3975.63365778689</v>
      </c>
    </row>
    <row r="110" customFormat="false" ht="15" hidden="false" customHeight="false" outlineLevel="0" collapsed="false">
      <c r="A110" s="28" t="s">
        <v>1196</v>
      </c>
      <c r="B110" s="62"/>
      <c r="C110" s="64" t="n">
        <f aca="false">SUM(E110:P110)</f>
        <v>62493.1560835695</v>
      </c>
      <c r="D110" s="64" t="n">
        <f aca="false">SUM(Q110:AB110)</f>
        <v>63422.8752104577</v>
      </c>
      <c r="E110" s="65" t="n">
        <f aca="false">E13*(MIN(((Assumptions!$D$92*IF(Assumptions!E$206=2027,1+Assumptions!$F$193,1))/12),Assumptions!E$222)*Assumptions!$C$62+((Assumptions!$D$92*IF(Assumptions!E$206=2027,1+Assumptions!$F$193,1))/12)*Assumptions!$C$63+((Assumptions!$D$92*IF(Assumptions!E$206=2027,1+Assumptions!$F$193,1))/12)*Assumptions!$C$71*Assumptions!$C$70)</f>
        <v>5232.96</v>
      </c>
      <c r="F110" s="65" t="n">
        <f aca="false">F13*(MIN(((Assumptions!$D$92*IF(Assumptions!F$206=2027,1+Assumptions!$F$193,1))/12),Assumptions!F$222)*Assumptions!$C$62+((Assumptions!$D$92*IF(Assumptions!F$206=2027,1+Assumptions!$F$193,1))/12)*Assumptions!$C$63+((Assumptions!$D$92*IF(Assumptions!F$206=2027,1+Assumptions!$F$193,1))/12)*Assumptions!$C$71*Assumptions!$C$70)</f>
        <v>5232.96</v>
      </c>
      <c r="G110" s="65" t="n">
        <f aca="false">G13*(MIN(((Assumptions!$D$92*IF(Assumptions!G$206=2027,1+Assumptions!$F$193,1))/12),Assumptions!G$222)*Assumptions!$C$62+((Assumptions!$D$92*IF(Assumptions!G$206=2027,1+Assumptions!$F$193,1))/12)*Assumptions!$C$63+((Assumptions!$D$92*IF(Assumptions!G$206=2027,1+Assumptions!$F$193,1))/12)*Assumptions!$C$71*Assumptions!$C$70)</f>
        <v>5232.96</v>
      </c>
      <c r="H110" s="65" t="n">
        <f aca="false">H13*(MIN(((Assumptions!$D$92*IF(Assumptions!H$206=2027,1+Assumptions!$F$193,1))/12),Assumptions!H$222)*Assumptions!$C$62+((Assumptions!$D$92*IF(Assumptions!H$206=2027,1+Assumptions!$F$193,1))/12)*Assumptions!$C$63+((Assumptions!$D$92*IF(Assumptions!H$206=2027,1+Assumptions!$F$193,1))/12)*Assumptions!$C$71*Assumptions!$C$70)</f>
        <v>5232.96</v>
      </c>
      <c r="I110" s="65" t="n">
        <f aca="false">I13*(MIN(((Assumptions!$D$92*IF(Assumptions!I$206=2027,1+Assumptions!$F$193,1))/12),Assumptions!I$222)*Assumptions!$C$62+((Assumptions!$D$92*IF(Assumptions!I$206=2027,1+Assumptions!$F$193,1))/12)*Assumptions!$C$63+((Assumptions!$D$92*IF(Assumptions!I$206=2027,1+Assumptions!$F$193,1))/12)*Assumptions!$C$71*Assumptions!$C$70)</f>
        <v>5232.96</v>
      </c>
      <c r="J110" s="65" t="n">
        <f aca="false">J13*(MIN(((Assumptions!$D$92*IF(Assumptions!J$206=2027,1+Assumptions!$F$193,1))/12),Assumptions!J$222)*Assumptions!$C$62+((Assumptions!$D$92*IF(Assumptions!J$206=2027,1+Assumptions!$F$193,1))/12)*Assumptions!$C$63+((Assumptions!$D$92*IF(Assumptions!J$206=2027,1+Assumptions!$F$193,1))/12)*Assumptions!$C$71*Assumptions!$C$70)</f>
        <v>5232.96</v>
      </c>
      <c r="K110" s="65" t="n">
        <f aca="false">K13*(MIN(((Assumptions!$D$92*IF(Assumptions!K$206=2027,1+Assumptions!$F$193,1))/12),Assumptions!K$222)*Assumptions!$C$62+((Assumptions!$D$92*IF(Assumptions!K$206=2027,1+Assumptions!$F$193,1))/12)*Assumptions!$C$63+((Assumptions!$D$92*IF(Assumptions!K$206=2027,1+Assumptions!$F$193,1))/12)*Assumptions!$C$71*Assumptions!$C$70)</f>
        <v>5232.96</v>
      </c>
      <c r="L110" s="65" t="n">
        <f aca="false">L13*(MIN(((Assumptions!$D$92*IF(Assumptions!L$206=2027,1+Assumptions!$F$193,1))/12),Assumptions!L$222)*Assumptions!$C$62+((Assumptions!$D$92*IF(Assumptions!L$206=2027,1+Assumptions!$F$193,1))/12)*Assumptions!$C$63+((Assumptions!$D$92*IF(Assumptions!L$206=2027,1+Assumptions!$F$193,1))/12)*Assumptions!$C$71*Assumptions!$C$70)</f>
        <v>5232.96</v>
      </c>
      <c r="M110" s="65" t="n">
        <f aca="false">M13*(MIN(((Assumptions!$D$92*IF(Assumptions!M$206=2027,1+Assumptions!$F$193,1))/12),Assumptions!M$222)*Assumptions!$C$62+((Assumptions!$D$92*IF(Assumptions!M$206=2027,1+Assumptions!$F$193,1))/12)*Assumptions!$C$63+((Assumptions!$D$92*IF(Assumptions!M$206=2027,1+Assumptions!$F$193,1))/12)*Assumptions!$C$71*Assumptions!$C$70)</f>
        <v>5189.352</v>
      </c>
      <c r="N110" s="65" t="n">
        <f aca="false">N13*(MIN(((Assumptions!$D$92*IF(Assumptions!N$206=2027,1+Assumptions!$F$193,1))/12),Assumptions!N$222)*Assumptions!$C$62+((Assumptions!$D$92*IF(Assumptions!N$206=2027,1+Assumptions!$F$193,1))/12)*Assumptions!$C$63+((Assumptions!$D$92*IF(Assumptions!N$206=2027,1+Assumptions!$F$193,1))/12)*Assumptions!$C$71*Assumptions!$C$70)</f>
        <v>5146.1074</v>
      </c>
      <c r="O110" s="65" t="n">
        <f aca="false">O13*(MIN(((Assumptions!$D$92*IF(Assumptions!O$206=2027,1+Assumptions!$F$193,1))/12),Assumptions!O$222)*Assumptions!$C$62+((Assumptions!$D$92*IF(Assumptions!O$206=2027,1+Assumptions!$F$193,1))/12)*Assumptions!$C$63+((Assumptions!$D$92*IF(Assumptions!O$206=2027,1+Assumptions!$F$193,1))/12)*Assumptions!$C$71*Assumptions!$C$70)</f>
        <v>5146.83117166667</v>
      </c>
      <c r="P110" s="65" t="n">
        <f aca="false">P13*(MIN(((Assumptions!$D$92*IF(Assumptions!P$206=2027,1+Assumptions!$F$193,1))/12),Assumptions!P$222)*Assumptions!$C$62+((Assumptions!$D$92*IF(Assumptions!P$206=2027,1+Assumptions!$F$193,1))/12)*Assumptions!$C$63+((Assumptions!$D$92*IF(Assumptions!P$206=2027,1+Assumptions!$F$193,1))/12)*Assumptions!$C$71*Assumptions!$C$70)</f>
        <v>5147.18551190278</v>
      </c>
      <c r="Q110" s="65" t="n">
        <f aca="false">Q13*(MIN(((Assumptions!$D$92*IF(Assumptions!Q$206=2027,1+Assumptions!$F$193,1))/12),Assumptions!Q$222)*Assumptions!$C$62+((Assumptions!$D$92*IF(Assumptions!Q$206=2027,1+Assumptions!$F$193,1))/12)*Assumptions!$C$63+((Assumptions!$D$92*IF(Assumptions!Q$206=2027,1+Assumptions!$F$193,1))/12)*Assumptions!$C$71*Assumptions!$C$70)</f>
        <v>5285.24220815079</v>
      </c>
      <c r="R110" s="65" t="n">
        <f aca="false">R13*(MIN(((Assumptions!$D$92*IF(Assumptions!R$206=2027,1+Assumptions!$F$193,1))/12),Assumptions!R$222)*Assumptions!$C$62+((Assumptions!$D$92*IF(Assumptions!R$206=2027,1+Assumptions!$F$193,1))/12)*Assumptions!$C$63+((Assumptions!$D$92*IF(Assumptions!R$206=2027,1+Assumptions!$F$193,1))/12)*Assumptions!$C$71*Assumptions!$C$70)</f>
        <v>5285.23925298702</v>
      </c>
      <c r="S110" s="65" t="n">
        <f aca="false">S13*(MIN(((Assumptions!$D$92*IF(Assumptions!S$206=2027,1+Assumptions!$F$193,1))/12),Assumptions!S$222)*Assumptions!$C$62+((Assumptions!$D$92*IF(Assumptions!S$206=2027,1+Assumptions!$F$193,1))/12)*Assumptions!$C$63+((Assumptions!$D$92*IF(Assumptions!S$206=2027,1+Assumptions!$F$193,1))/12)*Assumptions!$C$71*Assumptions!$C$70)</f>
        <v>5285.23935449052</v>
      </c>
      <c r="T110" s="65" t="n">
        <f aca="false">T13*(MIN(((Assumptions!$D$92*IF(Assumptions!T$206=2027,1+Assumptions!$F$193,1))/12),Assumptions!T$222)*Assumptions!$C$62+((Assumptions!$D$92*IF(Assumptions!T$206=2027,1+Assumptions!$F$193,1))/12)*Assumptions!$C$63+((Assumptions!$D$92*IF(Assumptions!T$206=2027,1+Assumptions!$F$193,1))/12)*Assumptions!$C$71*Assumptions!$C$70)</f>
        <v>5285.23937827102</v>
      </c>
      <c r="U110" s="65" t="n">
        <f aca="false">U13*(MIN(((Assumptions!$D$92*IF(Assumptions!U$206=2027,1+Assumptions!$F$193,1))/12),Assumptions!U$222)*Assumptions!$C$62+((Assumptions!$D$92*IF(Assumptions!U$206=2027,1+Assumptions!$F$193,1))/12)*Assumptions!$C$63+((Assumptions!$D$92*IF(Assumptions!U$206=2027,1+Assumptions!$F$193,1))/12)*Assumptions!$C$71*Assumptions!$C$70)</f>
        <v>5285.23937722699</v>
      </c>
      <c r="V110" s="65" t="n">
        <f aca="false">V13*(MIN(((Assumptions!$D$92*IF(Assumptions!V$206=2027,1+Assumptions!$F$193,1))/12),Assumptions!V$222)*Assumptions!$C$62+((Assumptions!$D$92*IF(Assumptions!V$206=2027,1+Assumptions!$F$193,1))/12)*Assumptions!$C$63+((Assumptions!$D$92*IF(Assumptions!V$206=2027,1+Assumptions!$F$193,1))/12)*Assumptions!$C$71*Assumptions!$C$70)</f>
        <v>5285.23937703752</v>
      </c>
      <c r="W110" s="65" t="n">
        <f aca="false">W13*(MIN(((Assumptions!$D$92*IF(Assumptions!W$206=2027,1+Assumptions!$F$193,1))/12),Assumptions!W$222)*Assumptions!$C$62+((Assumptions!$D$92*IF(Assumptions!W$206=2027,1+Assumptions!$F$193,1))/12)*Assumptions!$C$63+((Assumptions!$D$92*IF(Assumptions!W$206=2027,1+Assumptions!$F$193,1))/12)*Assumptions!$C$71*Assumptions!$C$70)</f>
        <v>5285.2393770478</v>
      </c>
      <c r="X110" s="65" t="n">
        <f aca="false">X13*(MIN(((Assumptions!$D$92*IF(Assumptions!X$206=2027,1+Assumptions!$F$193,1))/12),Assumptions!X$222)*Assumptions!$C$62+((Assumptions!$D$92*IF(Assumptions!X$206=2027,1+Assumptions!$F$193,1))/12)*Assumptions!$C$63+((Assumptions!$D$92*IF(Assumptions!X$206=2027,1+Assumptions!$F$193,1))/12)*Assumptions!$C$71*Assumptions!$C$70)</f>
        <v>5285.23937704929</v>
      </c>
      <c r="Y110" s="65" t="n">
        <f aca="false">Y13*(MIN(((Assumptions!$D$92*IF(Assumptions!Y$206=2027,1+Assumptions!$F$193,1))/12),Assumptions!Y$222)*Assumptions!$C$62+((Assumptions!$D$92*IF(Assumptions!Y$206=2027,1+Assumptions!$F$193,1))/12)*Assumptions!$C$63+((Assumptions!$D$92*IF(Assumptions!Y$206=2027,1+Assumptions!$F$193,1))/12)*Assumptions!$C$71*Assumptions!$C$70)</f>
        <v>5285.23937704919</v>
      </c>
      <c r="Z110" s="65" t="n">
        <f aca="false">Z13*(MIN(((Assumptions!$D$92*IF(Assumptions!Z$206=2027,1+Assumptions!$F$193,1))/12),Assumptions!Z$222)*Assumptions!$C$62+((Assumptions!$D$92*IF(Assumptions!Z$206=2027,1+Assumptions!$F$193,1))/12)*Assumptions!$C$63+((Assumptions!$D$92*IF(Assumptions!Z$206=2027,1+Assumptions!$F$193,1))/12)*Assumptions!$C$71*Assumptions!$C$70)</f>
        <v>5285.23937704918</v>
      </c>
      <c r="AA110" s="65" t="n">
        <f aca="false">AA13*(MIN(((Assumptions!$D$92*IF(Assumptions!AA$206=2027,1+Assumptions!$F$193,1))/12),Assumptions!AA$222)*Assumptions!$C$62+((Assumptions!$D$92*IF(Assumptions!AA$206=2027,1+Assumptions!$F$193,1))/12)*Assumptions!$C$63+((Assumptions!$D$92*IF(Assumptions!AA$206=2027,1+Assumptions!$F$193,1))/12)*Assumptions!$C$71*Assumptions!$C$70)</f>
        <v>5285.23937704918</v>
      </c>
      <c r="AB110" s="65" t="n">
        <f aca="false">AB13*(MIN(((Assumptions!$D$92*IF(Assumptions!AB$206=2027,1+Assumptions!$F$193,1))/12),Assumptions!AB$222)*Assumptions!$C$62+((Assumptions!$D$92*IF(Assumptions!AB$206=2027,1+Assumptions!$F$193,1))/12)*Assumptions!$C$63+((Assumptions!$D$92*IF(Assumptions!AB$206=2027,1+Assumptions!$F$193,1))/12)*Assumptions!$C$71*Assumptions!$C$70)</f>
        <v>5285.23937704918</v>
      </c>
    </row>
    <row r="111" customFormat="false" ht="15" hidden="false" customHeight="false" outlineLevel="0" collapsed="false">
      <c r="A111" s="28" t="s">
        <v>1197</v>
      </c>
      <c r="B111" s="62"/>
      <c r="C111" s="64" t="n">
        <f aca="false">SUM(E111:P111)</f>
        <v>59612.6650093976</v>
      </c>
      <c r="D111" s="64" t="n">
        <f aca="false">SUM(Q111:AB111)</f>
        <v>74302.8075194034</v>
      </c>
      <c r="E111" s="65" t="n">
        <f aca="false">E14*(MIN(((Assumptions!$D$93*IF(Assumptions!E$206=2027,1+Assumptions!$F$193,1))/12),Assumptions!E$222)*Assumptions!$C$62+((Assumptions!$D$93*IF(Assumptions!E$206=2027,1+Assumptions!$F$193,1))/12)*Assumptions!$C$63+((Assumptions!$D$93*IF(Assumptions!E$206=2027,1+Assumptions!$F$193,1))/12)*Assumptions!$C$71*Assumptions!$C$70)</f>
        <v>4239.935</v>
      </c>
      <c r="F111" s="65" t="n">
        <f aca="false">F14*(MIN(((Assumptions!$D$93*IF(Assumptions!F$206=2027,1+Assumptions!$F$193,1))/12),Assumptions!F$222)*Assumptions!$C$62+((Assumptions!$D$93*IF(Assumptions!F$206=2027,1+Assumptions!$F$193,1))/12)*Assumptions!$C$63+((Assumptions!$D$93*IF(Assumptions!F$206=2027,1+Assumptions!$F$193,1))/12)*Assumptions!$C$71*Assumptions!$C$70)</f>
        <v>4239.935</v>
      </c>
      <c r="G111" s="65" t="n">
        <f aca="false">G14*(MIN(((Assumptions!$D$93*IF(Assumptions!G$206=2027,1+Assumptions!$F$193,1))/12),Assumptions!G$222)*Assumptions!$C$62+((Assumptions!$D$93*IF(Assumptions!G$206=2027,1+Assumptions!$F$193,1))/12)*Assumptions!$C$63+((Assumptions!$D$93*IF(Assumptions!G$206=2027,1+Assumptions!$F$193,1))/12)*Assumptions!$C$71*Assumptions!$C$70)</f>
        <v>4946.59083333333</v>
      </c>
      <c r="H111" s="65" t="n">
        <f aca="false">H14*(MIN(((Assumptions!$D$93*IF(Assumptions!H$206=2027,1+Assumptions!$F$193,1))/12),Assumptions!H$222)*Assumptions!$C$62+((Assumptions!$D$93*IF(Assumptions!H$206=2027,1+Assumptions!$F$193,1))/12)*Assumptions!$C$63+((Assumptions!$D$93*IF(Assumptions!H$206=2027,1+Assumptions!$F$193,1))/12)*Assumptions!$C$71*Assumptions!$C$70)</f>
        <v>4946.59083333333</v>
      </c>
      <c r="I111" s="65" t="n">
        <f aca="false">I14*(MIN(((Assumptions!$D$93*IF(Assumptions!I$206=2027,1+Assumptions!$F$193,1))/12),Assumptions!I$222)*Assumptions!$C$62+((Assumptions!$D$93*IF(Assumptions!I$206=2027,1+Assumptions!$F$193,1))/12)*Assumptions!$C$63+((Assumptions!$D$93*IF(Assumptions!I$206=2027,1+Assumptions!$F$193,1))/12)*Assumptions!$C$71*Assumptions!$C$70)</f>
        <v>4946.59083333333</v>
      </c>
      <c r="J111" s="65" t="n">
        <f aca="false">J14*(MIN(((Assumptions!$D$93*IF(Assumptions!J$206=2027,1+Assumptions!$F$193,1))/12),Assumptions!J$222)*Assumptions!$C$62+((Assumptions!$D$93*IF(Assumptions!J$206=2027,1+Assumptions!$F$193,1))/12)*Assumptions!$C$63+((Assumptions!$D$93*IF(Assumptions!J$206=2027,1+Assumptions!$F$193,1))/12)*Assumptions!$C$71*Assumptions!$C$70)</f>
        <v>4946.59083333333</v>
      </c>
      <c r="K111" s="65" t="n">
        <f aca="false">K14*(MIN(((Assumptions!$D$93*IF(Assumptions!K$206=2027,1+Assumptions!$F$193,1))/12),Assumptions!K$222)*Assumptions!$C$62+((Assumptions!$D$93*IF(Assumptions!K$206=2027,1+Assumptions!$F$193,1))/12)*Assumptions!$C$63+((Assumptions!$D$93*IF(Assumptions!K$206=2027,1+Assumptions!$F$193,1))/12)*Assumptions!$C$71*Assumptions!$C$70)</f>
        <v>4946.59083333333</v>
      </c>
      <c r="L111" s="65" t="n">
        <f aca="false">L14*(MIN(((Assumptions!$D$93*IF(Assumptions!L$206=2027,1+Assumptions!$F$193,1))/12),Assumptions!L$222)*Assumptions!$C$62+((Assumptions!$D$93*IF(Assumptions!L$206=2027,1+Assumptions!$F$193,1))/12)*Assumptions!$C$63+((Assumptions!$D$93*IF(Assumptions!L$206=2027,1+Assumptions!$F$193,1))/12)*Assumptions!$C$71*Assumptions!$C$70)</f>
        <v>4946.59083333333</v>
      </c>
      <c r="M111" s="65" t="n">
        <f aca="false">M14*(MIN(((Assumptions!$D$93*IF(Assumptions!M$206=2027,1+Assumptions!$F$193,1))/12),Assumptions!M$222)*Assumptions!$C$62+((Assumptions!$D$93*IF(Assumptions!M$206=2027,1+Assumptions!$F$193,1))/12)*Assumptions!$C$63+((Assumptions!$D$93*IF(Assumptions!M$206=2027,1+Assumptions!$F$193,1))/12)*Assumptions!$C$71*Assumptions!$C$70)</f>
        <v>4884.75844791667</v>
      </c>
      <c r="N111" s="65" t="n">
        <f aca="false">N14*(MIN(((Assumptions!$D$93*IF(Assumptions!N$206=2027,1+Assumptions!$F$193,1))/12),Assumptions!N$222)*Assumptions!$C$62+((Assumptions!$D$93*IF(Assumptions!N$206=2027,1+Assumptions!$F$193,1))/12)*Assumptions!$C$63+((Assumptions!$D$93*IF(Assumptions!N$206=2027,1+Assumptions!$F$193,1))/12)*Assumptions!$C$71*Assumptions!$C$70)</f>
        <v>5530.35480065104</v>
      </c>
      <c r="O111" s="65" t="n">
        <f aca="false">O14*(MIN(((Assumptions!$D$93*IF(Assumptions!O$206=2027,1+Assumptions!$F$193,1))/12),Assumptions!O$222)*Assumptions!$C$62+((Assumptions!$D$93*IF(Assumptions!O$206=2027,1+Assumptions!$F$193,1))/12)*Assumptions!$C$63+((Assumptions!$D$93*IF(Assumptions!O$206=2027,1+Assumptions!$F$193,1))/12)*Assumptions!$C$71*Assumptions!$C$70)</f>
        <v>5523.05775105957</v>
      </c>
      <c r="P111" s="65" t="n">
        <f aca="false">P14*(MIN(((Assumptions!$D$93*IF(Assumptions!P$206=2027,1+Assumptions!$F$193,1))/12),Assumptions!P$222)*Assumptions!$C$62+((Assumptions!$D$93*IF(Assumptions!P$206=2027,1+Assumptions!$F$193,1))/12)*Assumptions!$C$63+((Assumptions!$D$93*IF(Assumptions!P$206=2027,1+Assumptions!$F$193,1))/12)*Assumptions!$C$71*Assumptions!$C$70)</f>
        <v>5515.07900977028</v>
      </c>
      <c r="Q111" s="65" t="n">
        <f aca="false">Q14*(MIN(((Assumptions!$D$93*IF(Assumptions!Q$206=2027,1+Assumptions!$F$193,1))/12),Assumptions!Q$222)*Assumptions!$C$62+((Assumptions!$D$93*IF(Assumptions!Q$206=2027,1+Assumptions!$F$193,1))/12)*Assumptions!$C$63+((Assumptions!$D$93*IF(Assumptions!Q$206=2027,1+Assumptions!$F$193,1))/12)*Assumptions!$C$71*Assumptions!$C$70)</f>
        <v>5659.10617516884</v>
      </c>
      <c r="R111" s="65" t="n">
        <f aca="false">R14*(MIN(((Assumptions!$D$93*IF(Assumptions!R$206=2027,1+Assumptions!$F$193,1))/12),Assumptions!R$222)*Assumptions!$C$62+((Assumptions!$D$93*IF(Assumptions!R$206=2027,1+Assumptions!$F$193,1))/12)*Assumptions!$C$63+((Assumptions!$D$93*IF(Assumptions!R$206=2027,1+Assumptions!$F$193,1))/12)*Assumptions!$C$71*Assumptions!$C$70)</f>
        <v>5659.20606137774</v>
      </c>
      <c r="S111" s="65" t="n">
        <f aca="false">S14*(MIN(((Assumptions!$D$93*IF(Assumptions!S$206=2027,1+Assumptions!$F$193,1))/12),Assumptions!S$222)*Assumptions!$C$62+((Assumptions!$D$93*IF(Assumptions!S$206=2027,1+Assumptions!$F$193,1))/12)*Assumptions!$C$63+((Assumptions!$D$93*IF(Assumptions!S$206=2027,1+Assumptions!$F$193,1))/12)*Assumptions!$C$71*Assumptions!$C$70)</f>
        <v>5659.20236370984</v>
      </c>
      <c r="T111" s="65" t="n">
        <f aca="false">T14*(MIN(((Assumptions!$D$93*IF(Assumptions!T$206=2027,1+Assumptions!$F$193,1))/12),Assumptions!T$222)*Assumptions!$C$62+((Assumptions!$D$93*IF(Assumptions!T$206=2027,1+Assumptions!$F$193,1))/12)*Assumptions!$C$63+((Assumptions!$D$93*IF(Assumptions!T$206=2027,1+Assumptions!$F$193,1))/12)*Assumptions!$C$71*Assumptions!$C$70)</f>
        <v>6384.28631968641</v>
      </c>
      <c r="U111" s="65" t="n">
        <f aca="false">U14*(MIN(((Assumptions!$D$93*IF(Assumptions!U$206=2027,1+Assumptions!$F$193,1))/12),Assumptions!U$222)*Assumptions!$C$62+((Assumptions!$D$93*IF(Assumptions!U$206=2027,1+Assumptions!$F$193,1))/12)*Assumptions!$C$63+((Assumptions!$D$93*IF(Assumptions!U$206=2027,1+Assumptions!$F$193,1))/12)*Assumptions!$C$71*Assumptions!$C$70)</f>
        <v>6375.22281645755</v>
      </c>
      <c r="V111" s="65" t="n">
        <f aca="false">V14*(MIN(((Assumptions!$D$93*IF(Assumptions!V$206=2027,1+Assumptions!$F$193,1))/12),Assumptions!V$222)*Assumptions!$C$62+((Assumptions!$D$93*IF(Assumptions!V$206=2027,1+Assumptions!$F$193,1))/12)*Assumptions!$C$63+((Assumptions!$D$93*IF(Assumptions!V$206=2027,1+Assumptions!$F$193,1))/12)*Assumptions!$C$71*Assumptions!$C$70)</f>
        <v>6366.2725607982</v>
      </c>
      <c r="W111" s="65" t="n">
        <f aca="false">W14*(MIN(((Assumptions!$D$93*IF(Assumptions!W$206=2027,1+Assumptions!$F$193,1))/12),Assumptions!W$222)*Assumptions!$C$62+((Assumptions!$D$93*IF(Assumptions!W$206=2027,1+Assumptions!$F$193,1))/12)*Assumptions!$C$63+((Assumptions!$D$93*IF(Assumptions!W$206=2027,1+Assumptions!$F$193,1))/12)*Assumptions!$C$71*Assumptions!$C$70)</f>
        <v>6366.4977327843</v>
      </c>
      <c r="X111" s="65" t="n">
        <f aca="false">X14*(MIN(((Assumptions!$D$93*IF(Assumptions!X$206=2027,1+Assumptions!$F$193,1))/12),Assumptions!X$222)*Assumptions!$C$62+((Assumptions!$D$93*IF(Assumptions!X$206=2027,1+Assumptions!$F$193,1))/12)*Assumptions!$C$63+((Assumptions!$D$93*IF(Assumptions!X$206=2027,1+Assumptions!$F$193,1))/12)*Assumptions!$C$71*Assumptions!$C$70)</f>
        <v>6366.60679633022</v>
      </c>
      <c r="Y111" s="65" t="n">
        <f aca="false">Y14*(MIN(((Assumptions!$D$93*IF(Assumptions!Y$206=2027,1+Assumptions!$F$193,1))/12),Assumptions!Y$222)*Assumptions!$C$62+((Assumptions!$D$93*IF(Assumptions!Y$206=2027,1+Assumptions!$F$193,1))/12)*Assumptions!$C$63+((Assumptions!$D$93*IF(Assumptions!Y$206=2027,1+Assumptions!$F$193,1))/12)*Assumptions!$C$71*Assumptions!$C$70)</f>
        <v>6366.60261838607</v>
      </c>
      <c r="Z111" s="65" t="n">
        <f aca="false">Z14*(MIN(((Assumptions!$D$93*IF(Assumptions!Z$206=2027,1+Assumptions!$F$193,1))/12),Assumptions!Z$222)*Assumptions!$C$62+((Assumptions!$D$93*IF(Assumptions!Z$206=2027,1+Assumptions!$F$193,1))/12)*Assumptions!$C$63+((Assumptions!$D$93*IF(Assumptions!Z$206=2027,1+Assumptions!$F$193,1))/12)*Assumptions!$C$71*Assumptions!$C$70)</f>
        <v>6366.60130731605</v>
      </c>
      <c r="AA111" s="65" t="n">
        <f aca="false">AA14*(MIN(((Assumptions!$D$93*IF(Assumptions!AA$206=2027,1+Assumptions!$F$193,1))/12),Assumptions!AA$222)*Assumptions!$C$62+((Assumptions!$D$93*IF(Assumptions!AA$206=2027,1+Assumptions!$F$193,1))/12)*Assumptions!$C$63+((Assumptions!$D$93*IF(Assumptions!AA$206=2027,1+Assumptions!$F$193,1))/12)*Assumptions!$C$71*Assumptions!$C$70)</f>
        <v>6366.60137592872</v>
      </c>
      <c r="AB111" s="65" t="n">
        <f aca="false">AB14*(MIN(((Assumptions!$D$93*IF(Assumptions!AB$206=2027,1+Assumptions!$F$193,1))/12),Assumptions!AB$222)*Assumptions!$C$62+((Assumptions!$D$93*IF(Assumptions!AB$206=2027,1+Assumptions!$F$193,1))/12)*Assumptions!$C$63+((Assumptions!$D$93*IF(Assumptions!AB$206=2027,1+Assumptions!$F$193,1))/12)*Assumptions!$C$71*Assumptions!$C$70)</f>
        <v>6366.60139145944</v>
      </c>
    </row>
    <row r="112" customFormat="false" ht="15" hidden="false" customHeight="false" outlineLevel="0" collapsed="false">
      <c r="A112" s="28" t="s">
        <v>1198</v>
      </c>
      <c r="B112" s="62"/>
      <c r="C112" s="64" t="n">
        <f aca="false">SUM(E112:P112)</f>
        <v>41107.3172402047</v>
      </c>
      <c r="D112" s="64" t="n">
        <f aca="false">SUM(Q112:AB112)</f>
        <v>53354.8001148908</v>
      </c>
      <c r="E112" s="65" t="n">
        <f aca="false">E15*(MIN(((Assumptions!$D$94*IF(Assumptions!E$206=2027,1+Assumptions!$F$193,1))/12),Assumptions!E$222)*Assumptions!$C$62+((Assumptions!$D$94*IF(Assumptions!E$206=2027,1+Assumptions!$F$193,1))/12)*Assumptions!$C$63+((Assumptions!$D$94*IF(Assumptions!E$206=2027,1+Assumptions!$F$193,1))/12)*Assumptions!$C$71*Assumptions!$C$70)</f>
        <v>2959.02666666667</v>
      </c>
      <c r="F112" s="65" t="n">
        <f aca="false">F15*(MIN(((Assumptions!$D$94*IF(Assumptions!F$206=2027,1+Assumptions!$F$193,1))/12),Assumptions!F$222)*Assumptions!$C$62+((Assumptions!$D$94*IF(Assumptions!F$206=2027,1+Assumptions!$F$193,1))/12)*Assumptions!$C$63+((Assumptions!$D$94*IF(Assumptions!F$206=2027,1+Assumptions!$F$193,1))/12)*Assumptions!$C$71*Assumptions!$C$70)</f>
        <v>2959.02666666667</v>
      </c>
      <c r="G112" s="65" t="n">
        <f aca="false">G15*(MIN(((Assumptions!$D$94*IF(Assumptions!G$206=2027,1+Assumptions!$F$193,1))/12),Assumptions!G$222)*Assumptions!$C$62+((Assumptions!$D$94*IF(Assumptions!G$206=2027,1+Assumptions!$F$193,1))/12)*Assumptions!$C$63+((Assumptions!$D$94*IF(Assumptions!G$206=2027,1+Assumptions!$F$193,1))/12)*Assumptions!$C$71*Assumptions!$C$70)</f>
        <v>2959.02666666667</v>
      </c>
      <c r="H112" s="65" t="n">
        <f aca="false">H15*(MIN(((Assumptions!$D$94*IF(Assumptions!H$206=2027,1+Assumptions!$F$193,1))/12),Assumptions!H$222)*Assumptions!$C$62+((Assumptions!$D$94*IF(Assumptions!H$206=2027,1+Assumptions!$F$193,1))/12)*Assumptions!$C$63+((Assumptions!$D$94*IF(Assumptions!H$206=2027,1+Assumptions!$F$193,1))/12)*Assumptions!$C$71*Assumptions!$C$70)</f>
        <v>2959.02666666667</v>
      </c>
      <c r="I112" s="65" t="n">
        <f aca="false">I15*(MIN(((Assumptions!$D$94*IF(Assumptions!I$206=2027,1+Assumptions!$F$193,1))/12),Assumptions!I$222)*Assumptions!$C$62+((Assumptions!$D$94*IF(Assumptions!I$206=2027,1+Assumptions!$F$193,1))/12)*Assumptions!$C$63+((Assumptions!$D$94*IF(Assumptions!I$206=2027,1+Assumptions!$F$193,1))/12)*Assumptions!$C$71*Assumptions!$C$70)</f>
        <v>3698.78333333333</v>
      </c>
      <c r="J112" s="65" t="n">
        <f aca="false">J15*(MIN(((Assumptions!$D$94*IF(Assumptions!J$206=2027,1+Assumptions!$F$193,1))/12),Assumptions!J$222)*Assumptions!$C$62+((Assumptions!$D$94*IF(Assumptions!J$206=2027,1+Assumptions!$F$193,1))/12)*Assumptions!$C$63+((Assumptions!$D$94*IF(Assumptions!J$206=2027,1+Assumptions!$F$193,1))/12)*Assumptions!$C$71*Assumptions!$C$70)</f>
        <v>3698.78333333333</v>
      </c>
      <c r="K112" s="65" t="n">
        <f aca="false">K15*(MIN(((Assumptions!$D$94*IF(Assumptions!K$206=2027,1+Assumptions!$F$193,1))/12),Assumptions!K$222)*Assumptions!$C$62+((Assumptions!$D$94*IF(Assumptions!K$206=2027,1+Assumptions!$F$193,1))/12)*Assumptions!$C$63+((Assumptions!$D$94*IF(Assumptions!K$206=2027,1+Assumptions!$F$193,1))/12)*Assumptions!$C$71*Assumptions!$C$70)</f>
        <v>3698.78333333333</v>
      </c>
      <c r="L112" s="65" t="n">
        <f aca="false">L15*(MIN(((Assumptions!$D$94*IF(Assumptions!L$206=2027,1+Assumptions!$F$193,1))/12),Assumptions!L$222)*Assumptions!$C$62+((Assumptions!$D$94*IF(Assumptions!L$206=2027,1+Assumptions!$F$193,1))/12)*Assumptions!$C$63+((Assumptions!$D$94*IF(Assumptions!L$206=2027,1+Assumptions!$F$193,1))/12)*Assumptions!$C$71*Assumptions!$C$70)</f>
        <v>3698.78333333333</v>
      </c>
      <c r="M112" s="65" t="n">
        <f aca="false">M15*(MIN(((Assumptions!$D$94*IF(Assumptions!M$206=2027,1+Assumptions!$F$193,1))/12),Assumptions!M$222)*Assumptions!$C$62+((Assumptions!$D$94*IF(Assumptions!M$206=2027,1+Assumptions!$F$193,1))/12)*Assumptions!$C$63+((Assumptions!$D$94*IF(Assumptions!M$206=2027,1+Assumptions!$F$193,1))/12)*Assumptions!$C$71*Assumptions!$C$70)</f>
        <v>3652.54854166667</v>
      </c>
      <c r="N112" s="65" t="n">
        <f aca="false">N15*(MIN(((Assumptions!$D$94*IF(Assumptions!N$206=2027,1+Assumptions!$F$193,1))/12),Assumptions!N$222)*Assumptions!$C$62+((Assumptions!$D$94*IF(Assumptions!N$206=2027,1+Assumptions!$F$193,1))/12)*Assumptions!$C$63+((Assumptions!$D$94*IF(Assumptions!N$206=2027,1+Assumptions!$F$193,1))/12)*Assumptions!$C$71*Assumptions!$C$70)</f>
        <v>3606.89168489583</v>
      </c>
      <c r="O112" s="65" t="n">
        <f aca="false">O15*(MIN(((Assumptions!$D$94*IF(Assumptions!O$206=2027,1+Assumptions!$F$193,1))/12),Assumptions!O$222)*Assumptions!$C$62+((Assumptions!$D$94*IF(Assumptions!O$206=2027,1+Assumptions!$F$193,1))/12)*Assumptions!$C$63+((Assumptions!$D$94*IF(Assumptions!O$206=2027,1+Assumptions!$F$193,1))/12)*Assumptions!$C$71*Assumptions!$C$70)</f>
        <v>3608.0403305013</v>
      </c>
      <c r="P112" s="65" t="n">
        <f aca="false">P15*(MIN(((Assumptions!$D$94*IF(Assumptions!P$206=2027,1+Assumptions!$F$193,1))/12),Assumptions!P$222)*Assumptions!$C$62+((Assumptions!$D$94*IF(Assumptions!P$206=2027,1+Assumptions!$F$193,1))/12)*Assumptions!$C$63+((Assumptions!$D$94*IF(Assumptions!P$206=2027,1+Assumptions!$F$193,1))/12)*Assumptions!$C$71*Assumptions!$C$70)</f>
        <v>3608.59668314087</v>
      </c>
      <c r="Q112" s="65" t="n">
        <f aca="false">Q15*(MIN(((Assumptions!$D$94*IF(Assumptions!Q$206=2027,1+Assumptions!$F$193,1))/12),Assumptions!Q$222)*Assumptions!$C$62+((Assumptions!$D$94*IF(Assumptions!Q$206=2027,1+Assumptions!$F$193,1))/12)*Assumptions!$C$63+((Assumptions!$D$94*IF(Assumptions!Q$206=2027,1+Assumptions!$F$193,1))/12)*Assumptions!$C$71*Assumptions!$C$70)</f>
        <v>4462.49772254834</v>
      </c>
      <c r="R112" s="65" t="n">
        <f aca="false">R15*(MIN(((Assumptions!$D$94*IF(Assumptions!R$206=2027,1+Assumptions!$F$193,1))/12),Assumptions!R$222)*Assumptions!$C$62+((Assumptions!$D$94*IF(Assumptions!R$206=2027,1+Assumptions!$F$193,1))/12)*Assumptions!$C$63+((Assumptions!$D$94*IF(Assumptions!R$206=2027,1+Assumptions!$F$193,1))/12)*Assumptions!$C$71*Assumptions!$C$70)</f>
        <v>4453.00112124415</v>
      </c>
      <c r="S112" s="65" t="n">
        <f aca="false">S15*(MIN(((Assumptions!$D$94*IF(Assumptions!S$206=2027,1+Assumptions!$F$193,1))/12),Assumptions!S$222)*Assumptions!$C$62+((Assumptions!$D$94*IF(Assumptions!S$206=2027,1+Assumptions!$F$193,1))/12)*Assumptions!$C$63+((Assumptions!$D$94*IF(Assumptions!S$206=2027,1+Assumptions!$F$193,1))/12)*Assumptions!$C$71*Assumptions!$C$70)</f>
        <v>4443.63036445259</v>
      </c>
      <c r="T112" s="65" t="n">
        <f aca="false">T15*(MIN(((Assumptions!$D$94*IF(Assumptions!T$206=2027,1+Assumptions!$F$193,1))/12),Assumptions!T$222)*Assumptions!$C$62+((Assumptions!$D$94*IF(Assumptions!T$206=2027,1+Assumptions!$F$193,1))/12)*Assumptions!$C$63+((Assumptions!$D$94*IF(Assumptions!T$206=2027,1+Assumptions!$F$193,1))/12)*Assumptions!$C$71*Assumptions!$C$70)</f>
        <v>4443.86620642879</v>
      </c>
      <c r="U112" s="65" t="n">
        <f aca="false">U15*(MIN(((Assumptions!$D$94*IF(Assumptions!U$206=2027,1+Assumptions!$F$193,1))/12),Assumptions!U$222)*Assumptions!$C$62+((Assumptions!$D$94*IF(Assumptions!U$206=2027,1+Assumptions!$F$193,1))/12)*Assumptions!$C$63+((Assumptions!$D$94*IF(Assumptions!U$206=2027,1+Assumptions!$F$193,1))/12)*Assumptions!$C$71*Assumptions!$C$70)</f>
        <v>4443.98039286398</v>
      </c>
      <c r="V112" s="65" t="n">
        <f aca="false">V15*(MIN(((Assumptions!$D$94*IF(Assumptions!V$206=2027,1+Assumptions!$F$193,1))/12),Assumptions!V$222)*Assumptions!$C$62+((Assumptions!$D$94*IF(Assumptions!V$206=2027,1+Assumptions!$F$193,1))/12)*Assumptions!$C$63+((Assumptions!$D$94*IF(Assumptions!V$206=2027,1+Assumptions!$F$193,1))/12)*Assumptions!$C$71*Assumptions!$C$70)</f>
        <v>4443.97601750884</v>
      </c>
      <c r="W112" s="65" t="n">
        <f aca="false">W15*(MIN(((Assumptions!$D$94*IF(Assumptions!W$206=2027,1+Assumptions!$F$193,1))/12),Assumptions!W$222)*Assumptions!$C$62+((Assumptions!$D$94*IF(Assumptions!W$206=2027,1+Assumptions!$F$193,1))/12)*Assumptions!$C$63+((Assumptions!$D$94*IF(Assumptions!W$206=2027,1+Assumptions!$F$193,1))/12)*Assumptions!$C$71*Assumptions!$C$70)</f>
        <v>4443.97464487034</v>
      </c>
      <c r="X112" s="65" t="n">
        <f aca="false">X15*(MIN(((Assumptions!$D$94*IF(Assumptions!X$206=2027,1+Assumptions!$F$193,1))/12),Assumptions!X$222)*Assumptions!$C$62+((Assumptions!$D$94*IF(Assumptions!X$206=2027,1+Assumptions!$F$193,1))/12)*Assumptions!$C$63+((Assumptions!$D$94*IF(Assumptions!X$206=2027,1+Assumptions!$F$193,1))/12)*Assumptions!$C$71*Assumptions!$C$70)</f>
        <v>4443.97471672026</v>
      </c>
      <c r="Y112" s="65" t="n">
        <f aca="false">Y15*(MIN(((Assumptions!$D$94*IF(Assumptions!Y$206=2027,1+Assumptions!$F$193,1))/12),Assumptions!Y$222)*Assumptions!$C$62+((Assumptions!$D$94*IF(Assumptions!Y$206=2027,1+Assumptions!$F$193,1))/12)*Assumptions!$C$63+((Assumptions!$D$94*IF(Assumptions!Y$206=2027,1+Assumptions!$F$193,1))/12)*Assumptions!$C$71*Assumptions!$C$70)</f>
        <v>4443.97473298012</v>
      </c>
      <c r="Z112" s="65" t="n">
        <f aca="false">Z15*(MIN(((Assumptions!$D$94*IF(Assumptions!Z$206=2027,1+Assumptions!$F$193,1))/12),Assumptions!Z$222)*Assumptions!$C$62+((Assumptions!$D$94*IF(Assumptions!Z$206=2027,1+Assumptions!$F$193,1))/12)*Assumptions!$C$63+((Assumptions!$D$94*IF(Assumptions!Z$206=2027,1+Assumptions!$F$193,1))/12)*Assumptions!$C$71*Assumptions!$C$70)</f>
        <v>4443.97473187875</v>
      </c>
      <c r="AA112" s="65" t="n">
        <f aca="false">AA15*(MIN(((Assumptions!$D$94*IF(Assumptions!AA$206=2027,1+Assumptions!$F$193,1))/12),Assumptions!AA$222)*Assumptions!$C$62+((Assumptions!$D$94*IF(Assumptions!AA$206=2027,1+Assumptions!$F$193,1))/12)*Assumptions!$C$63+((Assumptions!$D$94*IF(Assumptions!AA$206=2027,1+Assumptions!$F$193,1))/12)*Assumptions!$C$71*Assumptions!$C$70)</f>
        <v>4443.97473168926</v>
      </c>
      <c r="AB112" s="65" t="n">
        <f aca="false">AB15*(MIN(((Assumptions!$D$94*IF(Assumptions!AB$206=2027,1+Assumptions!$F$193,1))/12),Assumptions!AB$222)*Assumptions!$C$62+((Assumptions!$D$94*IF(Assumptions!AB$206=2027,1+Assumptions!$F$193,1))/12)*Assumptions!$C$63+((Assumptions!$D$94*IF(Assumptions!AB$206=2027,1+Assumptions!$F$193,1))/12)*Assumptions!$C$71*Assumptions!$C$70)</f>
        <v>4443.9747317054</v>
      </c>
    </row>
    <row r="113" customFormat="false" ht="15" hidden="false" customHeight="false" outlineLevel="0" collapsed="false">
      <c r="A113" s="28" t="s">
        <v>1199</v>
      </c>
      <c r="B113" s="62"/>
      <c r="C113" s="64" t="n">
        <f aca="false">SUM(E113:P113)</f>
        <v>16070.69094456</v>
      </c>
      <c r="D113" s="64" t="n">
        <f aca="false">SUM(Q113:AB113)</f>
        <v>16140.9577311773</v>
      </c>
      <c r="E113" s="65" t="n">
        <f aca="false">E16*(MIN(((Assumptions!$D$95*IF(Assumptions!E$206=2027,1+Assumptions!$F$193,1))/12),Assumptions!E$222)*Assumptions!$C$62+((Assumptions!$D$95*IF(Assumptions!E$206=2027,1+Assumptions!$F$193,1))/12)*Assumptions!$C$63+((Assumptions!$D$95*IF(Assumptions!E$206=2027,1+Assumptions!$F$193,1))/12)*Assumptions!$C$71*Assumptions!$C$70)</f>
        <v>1352.12208333333</v>
      </c>
      <c r="F113" s="65" t="n">
        <f aca="false">F16*(MIN(((Assumptions!$D$95*IF(Assumptions!F$206=2027,1+Assumptions!$F$193,1))/12),Assumptions!F$222)*Assumptions!$C$62+((Assumptions!$D$95*IF(Assumptions!F$206=2027,1+Assumptions!$F$193,1))/12)*Assumptions!$C$63+((Assumptions!$D$95*IF(Assumptions!F$206=2027,1+Assumptions!$F$193,1))/12)*Assumptions!$C$71*Assumptions!$C$70)</f>
        <v>1352.12208333333</v>
      </c>
      <c r="G113" s="65" t="n">
        <f aca="false">G16*(MIN(((Assumptions!$D$95*IF(Assumptions!G$206=2027,1+Assumptions!$F$193,1))/12),Assumptions!G$222)*Assumptions!$C$62+((Assumptions!$D$95*IF(Assumptions!G$206=2027,1+Assumptions!$F$193,1))/12)*Assumptions!$C$63+((Assumptions!$D$95*IF(Assumptions!G$206=2027,1+Assumptions!$F$193,1))/12)*Assumptions!$C$71*Assumptions!$C$70)</f>
        <v>1352.12208333333</v>
      </c>
      <c r="H113" s="65" t="n">
        <f aca="false">H16*(MIN(((Assumptions!$D$95*IF(Assumptions!H$206=2027,1+Assumptions!$F$193,1))/12),Assumptions!H$222)*Assumptions!$C$62+((Assumptions!$D$95*IF(Assumptions!H$206=2027,1+Assumptions!$F$193,1))/12)*Assumptions!$C$63+((Assumptions!$D$95*IF(Assumptions!H$206=2027,1+Assumptions!$F$193,1))/12)*Assumptions!$C$71*Assumptions!$C$70)</f>
        <v>1352.12208333333</v>
      </c>
      <c r="I113" s="65" t="n">
        <f aca="false">I16*(MIN(((Assumptions!$D$95*IF(Assumptions!I$206=2027,1+Assumptions!$F$193,1))/12),Assumptions!I$222)*Assumptions!$C$62+((Assumptions!$D$95*IF(Assumptions!I$206=2027,1+Assumptions!$F$193,1))/12)*Assumptions!$C$63+((Assumptions!$D$95*IF(Assumptions!I$206=2027,1+Assumptions!$F$193,1))/12)*Assumptions!$C$71*Assumptions!$C$70)</f>
        <v>1352.12208333333</v>
      </c>
      <c r="J113" s="65" t="n">
        <f aca="false">J16*(MIN(((Assumptions!$D$95*IF(Assumptions!J$206=2027,1+Assumptions!$F$193,1))/12),Assumptions!J$222)*Assumptions!$C$62+((Assumptions!$D$95*IF(Assumptions!J$206=2027,1+Assumptions!$F$193,1))/12)*Assumptions!$C$63+((Assumptions!$D$95*IF(Assumptions!J$206=2027,1+Assumptions!$F$193,1))/12)*Assumptions!$C$71*Assumptions!$C$70)</f>
        <v>1352.12208333333</v>
      </c>
      <c r="K113" s="65" t="n">
        <f aca="false">K16*(MIN(((Assumptions!$D$95*IF(Assumptions!K$206=2027,1+Assumptions!$F$193,1))/12),Assumptions!K$222)*Assumptions!$C$62+((Assumptions!$D$95*IF(Assumptions!K$206=2027,1+Assumptions!$F$193,1))/12)*Assumptions!$C$63+((Assumptions!$D$95*IF(Assumptions!K$206=2027,1+Assumptions!$F$193,1))/12)*Assumptions!$C$71*Assumptions!$C$70)</f>
        <v>1352.12208333333</v>
      </c>
      <c r="L113" s="65" t="n">
        <f aca="false">L16*(MIN(((Assumptions!$D$95*IF(Assumptions!L$206=2027,1+Assumptions!$F$193,1))/12),Assumptions!L$222)*Assumptions!$C$62+((Assumptions!$D$95*IF(Assumptions!L$206=2027,1+Assumptions!$F$193,1))/12)*Assumptions!$C$63+((Assumptions!$D$95*IF(Assumptions!L$206=2027,1+Assumptions!$F$193,1))/12)*Assumptions!$C$71*Assumptions!$C$70)</f>
        <v>1352.12208333333</v>
      </c>
      <c r="M113" s="65" t="n">
        <f aca="false">M16*(MIN(((Assumptions!$D$95*IF(Assumptions!M$206=2027,1+Assumptions!$F$193,1))/12),Assumptions!M$222)*Assumptions!$C$62+((Assumptions!$D$95*IF(Assumptions!M$206=2027,1+Assumptions!$F$193,1))/12)*Assumptions!$C$63+((Assumptions!$D$95*IF(Assumptions!M$206=2027,1+Assumptions!$F$193,1))/12)*Assumptions!$C$71*Assumptions!$C$70)</f>
        <v>1329.58671527778</v>
      </c>
      <c r="N113" s="65" t="n">
        <f aca="false">N16*(MIN(((Assumptions!$D$95*IF(Assumptions!N$206=2027,1+Assumptions!$F$193,1))/12),Assumptions!N$222)*Assumptions!$C$62+((Assumptions!$D$95*IF(Assumptions!N$206=2027,1+Assumptions!$F$193,1))/12)*Assumptions!$C$63+((Assumptions!$D$95*IF(Assumptions!N$206=2027,1+Assumptions!$F$193,1))/12)*Assumptions!$C$71*Assumptions!$C$70)</f>
        <v>1307.42693668981</v>
      </c>
      <c r="O113" s="65" t="n">
        <f aca="false">O16*(MIN(((Assumptions!$D$95*IF(Assumptions!O$206=2027,1+Assumptions!$F$193,1))/12),Assumptions!O$222)*Assumptions!$C$62+((Assumptions!$D$95*IF(Assumptions!O$206=2027,1+Assumptions!$F$193,1))/12)*Assumptions!$C$63+((Assumptions!$D$95*IF(Assumptions!O$206=2027,1+Assumptions!$F$193,1))/12)*Assumptions!$C$71*Assumptions!$C$70)</f>
        <v>1308.17185580054</v>
      </c>
      <c r="P113" s="65" t="n">
        <f aca="false">P16*(MIN(((Assumptions!$D$95*IF(Assumptions!P$206=2027,1+Assumptions!$F$193,1))/12),Assumptions!P$222)*Assumptions!$C$62+((Assumptions!$D$95*IF(Assumptions!P$206=2027,1+Assumptions!$F$193,1))/12)*Assumptions!$C$63+((Assumptions!$D$95*IF(Assumptions!P$206=2027,1+Assumptions!$F$193,1))/12)*Assumptions!$C$71*Assumptions!$C$70)</f>
        <v>1308.52877012516</v>
      </c>
      <c r="Q113" s="65" t="n">
        <f aca="false">Q16*(MIN(((Assumptions!$D$95*IF(Assumptions!Q$206=2027,1+Assumptions!$F$193,1))/12),Assumptions!Q$222)*Assumptions!$C$62+((Assumptions!$D$95*IF(Assumptions!Q$206=2027,1+Assumptions!$F$193,1))/12)*Assumptions!$C$63+((Assumptions!$D$95*IF(Assumptions!Q$206=2027,1+Assumptions!$F$193,1))/12)*Assumptions!$C$71*Assumptions!$C$70)</f>
        <v>1345.08472396956</v>
      </c>
      <c r="R113" s="65" t="n">
        <f aca="false">R16*(MIN(((Assumptions!$D$95*IF(Assumptions!R$206=2027,1+Assumptions!$F$193,1))/12),Assumptions!R$222)*Assumptions!$C$62+((Assumptions!$D$95*IF(Assumptions!R$206=2027,1+Assumptions!$F$193,1))/12)*Assumptions!$C$63+((Assumptions!$D$95*IF(Assumptions!R$206=2027,1+Assumptions!$F$193,1))/12)*Assumptions!$C$71*Assumptions!$C$70)</f>
        <v>1345.07892374799</v>
      </c>
      <c r="S113" s="65" t="n">
        <f aca="false">S16*(MIN(((Assumptions!$D$95*IF(Assumptions!S$206=2027,1+Assumptions!$F$193,1))/12),Assumptions!S$222)*Assumptions!$C$62+((Assumptions!$D$95*IF(Assumptions!S$206=2027,1+Assumptions!$F$193,1))/12)*Assumptions!$C$63+((Assumptions!$D$95*IF(Assumptions!S$206=2027,1+Assumptions!$F$193,1))/12)*Assumptions!$C$71*Assumptions!$C$70)</f>
        <v>1345.07933503804</v>
      </c>
      <c r="T113" s="65" t="n">
        <f aca="false">T16*(MIN(((Assumptions!$D$95*IF(Assumptions!T$206=2027,1+Assumptions!$F$193,1))/12),Assumptions!T$222)*Assumptions!$C$62+((Assumptions!$D$95*IF(Assumptions!T$206=2027,1+Assumptions!$F$193,1))/12)*Assumptions!$C$63+((Assumptions!$D$95*IF(Assumptions!T$206=2027,1+Assumptions!$F$193,1))/12)*Assumptions!$C$71*Assumptions!$C$70)</f>
        <v>1345.07942485357</v>
      </c>
      <c r="U113" s="65" t="n">
        <f aca="false">U16*(MIN(((Assumptions!$D$95*IF(Assumptions!U$206=2027,1+Assumptions!$F$193,1))/12),Assumptions!U$222)*Assumptions!$C$62+((Assumptions!$D$95*IF(Assumptions!U$206=2027,1+Assumptions!$F$193,1))/12)*Assumptions!$C$63+((Assumptions!$D$95*IF(Assumptions!U$206=2027,1+Assumptions!$F$193,1))/12)*Assumptions!$C$71*Assumptions!$C$70)</f>
        <v>1345.07941650181</v>
      </c>
      <c r="V113" s="65" t="n">
        <f aca="false">V16*(MIN(((Assumptions!$D$95*IF(Assumptions!V$206=2027,1+Assumptions!$F$193,1))/12),Assumptions!V$222)*Assumptions!$C$62+((Assumptions!$D$95*IF(Assumptions!V$206=2027,1+Assumptions!$F$193,1))/12)*Assumptions!$C$63+((Assumptions!$D$95*IF(Assumptions!V$206=2027,1+Assumptions!$F$193,1))/12)*Assumptions!$C$71*Assumptions!$C$70)</f>
        <v>1345.07941514408</v>
      </c>
      <c r="W113" s="65" t="n">
        <f aca="false">W16*(MIN(((Assumptions!$D$95*IF(Assumptions!W$206=2027,1+Assumptions!$F$193,1))/12),Assumptions!W$222)*Assumptions!$C$62+((Assumptions!$D$95*IF(Assumptions!W$206=2027,1+Assumptions!$F$193,1))/12)*Assumptions!$C$63+((Assumptions!$D$95*IF(Assumptions!W$206=2027,1+Assumptions!$F$193,1))/12)*Assumptions!$C$71*Assumptions!$C$70)</f>
        <v>1345.0794153059</v>
      </c>
      <c r="X113" s="65" t="n">
        <f aca="false">X16*(MIN(((Assumptions!$D$95*IF(Assumptions!X$206=2027,1+Assumptions!$F$193,1))/12),Assumptions!X$222)*Assumptions!$C$62+((Assumptions!$D$95*IF(Assumptions!X$206=2027,1+Assumptions!$F$193,1))/12)*Assumptions!$C$63+((Assumptions!$D$95*IF(Assumptions!X$206=2027,1+Assumptions!$F$193,1))/12)*Assumptions!$C$71*Assumptions!$C$70)</f>
        <v>1345.07941532583</v>
      </c>
      <c r="Y113" s="65" t="n">
        <f aca="false">Y16*(MIN(((Assumptions!$D$95*IF(Assumptions!Y$206=2027,1+Assumptions!$F$193,1))/12),Assumptions!Y$222)*Assumptions!$C$62+((Assumptions!$D$95*IF(Assumptions!Y$206=2027,1+Assumptions!$F$193,1))/12)*Assumptions!$C$63+((Assumptions!$D$95*IF(Assumptions!Y$206=2027,1+Assumptions!$F$193,1))/12)*Assumptions!$C$71*Assumptions!$C$70)</f>
        <v>1345.0794153228</v>
      </c>
      <c r="Z113" s="65" t="n">
        <f aca="false">Z16*(MIN(((Assumptions!$D$95*IF(Assumptions!Z$206=2027,1+Assumptions!$F$193,1))/12),Assumptions!Z$222)*Assumptions!$C$62+((Assumptions!$D$95*IF(Assumptions!Z$206=2027,1+Assumptions!$F$193,1))/12)*Assumptions!$C$63+((Assumptions!$D$95*IF(Assumptions!Z$206=2027,1+Assumptions!$F$193,1))/12)*Assumptions!$C$71*Assumptions!$C$70)</f>
        <v>1345.07941532252</v>
      </c>
      <c r="AA113" s="65" t="n">
        <f aca="false">AA16*(MIN(((Assumptions!$D$95*IF(Assumptions!AA$206=2027,1+Assumptions!$F$193,1))/12),Assumptions!AA$222)*Assumptions!$C$62+((Assumptions!$D$95*IF(Assumptions!AA$206=2027,1+Assumptions!$F$193,1))/12)*Assumptions!$C$63+((Assumptions!$D$95*IF(Assumptions!AA$206=2027,1+Assumptions!$F$193,1))/12)*Assumptions!$C$71*Assumptions!$C$70)</f>
        <v>1345.07941532258</v>
      </c>
      <c r="AB113" s="65" t="n">
        <f aca="false">AB16*(MIN(((Assumptions!$D$95*IF(Assumptions!AB$206=2027,1+Assumptions!$F$193,1))/12),Assumptions!AB$222)*Assumptions!$C$62+((Assumptions!$D$95*IF(Assumptions!AB$206=2027,1+Assumptions!$F$193,1))/12)*Assumptions!$C$63+((Assumptions!$D$95*IF(Assumptions!AB$206=2027,1+Assumptions!$F$193,1))/12)*Assumptions!$C$71*Assumptions!$C$70)</f>
        <v>1345.07941532258</v>
      </c>
    </row>
    <row r="114" customFormat="false" ht="15" hidden="false" customHeight="false" outlineLevel="0" collapsed="false">
      <c r="A114" s="28" t="s">
        <v>1200</v>
      </c>
      <c r="B114" s="62"/>
      <c r="C114" s="64" t="n">
        <f aca="false">SUM(E114:P114)</f>
        <v>65447.2154023198</v>
      </c>
      <c r="D114" s="64" t="n">
        <f aca="false">SUM(Q114:AB114)</f>
        <v>86409.9264268258</v>
      </c>
      <c r="E114" s="65" t="n">
        <f aca="false">E17*(MIN(((Assumptions!$D$96*IF(Assumptions!E$206=2027,1+Assumptions!$F$193,1))/12),Assumptions!E$222)*Assumptions!$C$62+((Assumptions!$D$96*IF(Assumptions!E$206=2027,1+Assumptions!$F$193,1))/12)*Assumptions!$C$63+((Assumptions!$D$96*IF(Assumptions!E$206=2027,1+Assumptions!$F$193,1))/12)*Assumptions!$C$71*Assumptions!$C$70)</f>
        <v>4526.30416666667</v>
      </c>
      <c r="F114" s="65" t="n">
        <f aca="false">F17*(MIN(((Assumptions!$D$96*IF(Assumptions!F$206=2027,1+Assumptions!$F$193,1))/12),Assumptions!F$222)*Assumptions!$C$62+((Assumptions!$D$96*IF(Assumptions!F$206=2027,1+Assumptions!$F$193,1))/12)*Assumptions!$C$63+((Assumptions!$D$96*IF(Assumptions!F$206=2027,1+Assumptions!$F$193,1))/12)*Assumptions!$C$71*Assumptions!$C$70)</f>
        <v>5431.565</v>
      </c>
      <c r="G114" s="65" t="n">
        <f aca="false">G17*(MIN(((Assumptions!$D$96*IF(Assumptions!G$206=2027,1+Assumptions!$F$193,1))/12),Assumptions!G$222)*Assumptions!$C$62+((Assumptions!$D$96*IF(Assumptions!G$206=2027,1+Assumptions!$F$193,1))/12)*Assumptions!$C$63+((Assumptions!$D$96*IF(Assumptions!G$206=2027,1+Assumptions!$F$193,1))/12)*Assumptions!$C$71*Assumptions!$C$70)</f>
        <v>5431.565</v>
      </c>
      <c r="H114" s="65" t="n">
        <f aca="false">H17*(MIN(((Assumptions!$D$96*IF(Assumptions!H$206=2027,1+Assumptions!$F$193,1))/12),Assumptions!H$222)*Assumptions!$C$62+((Assumptions!$D$96*IF(Assumptions!H$206=2027,1+Assumptions!$F$193,1))/12)*Assumptions!$C$63+((Assumptions!$D$96*IF(Assumptions!H$206=2027,1+Assumptions!$F$193,1))/12)*Assumptions!$C$71*Assumptions!$C$70)</f>
        <v>5431.565</v>
      </c>
      <c r="I114" s="65" t="n">
        <f aca="false">I17*(MIN(((Assumptions!$D$96*IF(Assumptions!I$206=2027,1+Assumptions!$F$193,1))/12),Assumptions!I$222)*Assumptions!$C$62+((Assumptions!$D$96*IF(Assumptions!I$206=2027,1+Assumptions!$F$193,1))/12)*Assumptions!$C$63+((Assumptions!$D$96*IF(Assumptions!I$206=2027,1+Assumptions!$F$193,1))/12)*Assumptions!$C$71*Assumptions!$C$70)</f>
        <v>5431.565</v>
      </c>
      <c r="J114" s="65" t="n">
        <f aca="false">J17*(MIN(((Assumptions!$D$96*IF(Assumptions!J$206=2027,1+Assumptions!$F$193,1))/12),Assumptions!J$222)*Assumptions!$C$62+((Assumptions!$D$96*IF(Assumptions!J$206=2027,1+Assumptions!$F$193,1))/12)*Assumptions!$C$63+((Assumptions!$D$96*IF(Assumptions!J$206=2027,1+Assumptions!$F$193,1))/12)*Assumptions!$C$71*Assumptions!$C$70)</f>
        <v>5431.565</v>
      </c>
      <c r="K114" s="65" t="n">
        <f aca="false">K17*(MIN(((Assumptions!$D$96*IF(Assumptions!K$206=2027,1+Assumptions!$F$193,1))/12),Assumptions!K$222)*Assumptions!$C$62+((Assumptions!$D$96*IF(Assumptions!K$206=2027,1+Assumptions!$F$193,1))/12)*Assumptions!$C$63+((Assumptions!$D$96*IF(Assumptions!K$206=2027,1+Assumptions!$F$193,1))/12)*Assumptions!$C$71*Assumptions!$C$70)</f>
        <v>5431.565</v>
      </c>
      <c r="L114" s="65" t="n">
        <f aca="false">L17*(MIN(((Assumptions!$D$96*IF(Assumptions!L$206=2027,1+Assumptions!$F$193,1))/12),Assumptions!L$222)*Assumptions!$C$62+((Assumptions!$D$96*IF(Assumptions!L$206=2027,1+Assumptions!$F$193,1))/12)*Assumptions!$C$63+((Assumptions!$D$96*IF(Assumptions!L$206=2027,1+Assumptions!$F$193,1))/12)*Assumptions!$C$71*Assumptions!$C$70)</f>
        <v>5431.565</v>
      </c>
      <c r="M114" s="65" t="n">
        <f aca="false">M17*(MIN(((Assumptions!$D$96*IF(Assumptions!M$206=2027,1+Assumptions!$F$193,1))/12),Assumptions!M$222)*Assumptions!$C$62+((Assumptions!$D$96*IF(Assumptions!M$206=2027,1+Assumptions!$F$193,1))/12)*Assumptions!$C$63+((Assumptions!$D$96*IF(Assumptions!M$206=2027,1+Assumptions!$F$193,1))/12)*Assumptions!$C$71*Assumptions!$C$70)</f>
        <v>5341.03891666667</v>
      </c>
      <c r="N114" s="65" t="n">
        <f aca="false">N17*(MIN(((Assumptions!$D$96*IF(Assumptions!N$206=2027,1+Assumptions!$F$193,1))/12),Assumptions!N$222)*Assumptions!$C$62+((Assumptions!$D$96*IF(Assumptions!N$206=2027,1+Assumptions!$F$193,1))/12)*Assumptions!$C$63+((Assumptions!$D$96*IF(Assumptions!N$206=2027,1+Assumptions!$F$193,1))/12)*Assumptions!$C$71*Assumptions!$C$70)</f>
        <v>5252.02160138889</v>
      </c>
      <c r="O114" s="65" t="n">
        <f aca="false">O17*(MIN(((Assumptions!$D$96*IF(Assumptions!O$206=2027,1+Assumptions!$F$193,1))/12),Assumptions!O$222)*Assumptions!$C$62+((Assumptions!$D$96*IF(Assumptions!O$206=2027,1+Assumptions!$F$193,1))/12)*Assumptions!$C$63+((Assumptions!$D$96*IF(Assumptions!O$206=2027,1+Assumptions!$F$193,1))/12)*Assumptions!$C$71*Assumptions!$C$70)</f>
        <v>6160.27482469907</v>
      </c>
      <c r="P114" s="65" t="n">
        <f aca="false">P17*(MIN(((Assumptions!$D$96*IF(Assumptions!P$206=2027,1+Assumptions!$F$193,1))/12),Assumptions!P$222)*Assumptions!$C$62+((Assumptions!$D$96*IF(Assumptions!P$206=2027,1+Assumptions!$F$193,1))/12)*Assumptions!$C$63+((Assumptions!$D$96*IF(Assumptions!P$206=2027,1+Assumptions!$F$193,1))/12)*Assumptions!$C$71*Assumptions!$C$70)</f>
        <v>6146.62089289853</v>
      </c>
      <c r="Q114" s="65" t="n">
        <f aca="false">Q17*(MIN(((Assumptions!$D$96*IF(Assumptions!Q$206=2027,1+Assumptions!$F$193,1))/12),Assumptions!Q$222)*Assumptions!$C$62+((Assumptions!$D$96*IF(Assumptions!Q$206=2027,1+Assumptions!$F$193,1))/12)*Assumptions!$C$63+((Assumptions!$D$96*IF(Assumptions!Q$206=2027,1+Assumptions!$F$193,1))/12)*Assumptions!$C$71*Assumptions!$C$70)</f>
        <v>7226.54579892727</v>
      </c>
      <c r="R114" s="65" t="n">
        <f aca="false">R17*(MIN(((Assumptions!$D$96*IF(Assumptions!R$206=2027,1+Assumptions!$F$193,1))/12),Assumptions!R$222)*Assumptions!$C$62+((Assumptions!$D$96*IF(Assumptions!R$206=2027,1+Assumptions!$F$193,1))/12)*Assumptions!$C$63+((Assumptions!$D$96*IF(Assumptions!R$206=2027,1+Assumptions!$F$193,1))/12)*Assumptions!$C$71*Assumptions!$C$70)</f>
        <v>7211.54055085589</v>
      </c>
      <c r="S114" s="65" t="n">
        <f aca="false">S17*(MIN(((Assumptions!$D$96*IF(Assumptions!S$206=2027,1+Assumptions!$F$193,1))/12),Assumptions!S$222)*Assumptions!$C$62+((Assumptions!$D$96*IF(Assumptions!S$206=2027,1+Assumptions!$F$193,1))/12)*Assumptions!$C$63+((Assumptions!$D$96*IF(Assumptions!S$206=2027,1+Assumptions!$F$193,1))/12)*Assumptions!$C$71*Assumptions!$C$70)</f>
        <v>7196.55169417028</v>
      </c>
      <c r="T114" s="65" t="n">
        <f aca="false">T17*(MIN(((Assumptions!$D$96*IF(Assumptions!T$206=2027,1+Assumptions!$F$193,1))/12),Assumptions!T$222)*Assumptions!$C$62+((Assumptions!$D$96*IF(Assumptions!T$206=2027,1+Assumptions!$F$193,1))/12)*Assumptions!$C$63+((Assumptions!$D$96*IF(Assumptions!T$206=2027,1+Assumptions!$F$193,1))/12)*Assumptions!$C$71*Assumptions!$C$70)</f>
        <v>7197.05159591623</v>
      </c>
      <c r="U114" s="65" t="n">
        <f aca="false">U17*(MIN(((Assumptions!$D$96*IF(Assumptions!U$206=2027,1+Assumptions!$F$193,1))/12),Assumptions!U$222)*Assumptions!$C$62+((Assumptions!$D$96*IF(Assumptions!U$206=2027,1+Assumptions!$F$193,1))/12)*Assumptions!$C$63+((Assumptions!$D$96*IF(Assumptions!U$206=2027,1+Assumptions!$F$193,1))/12)*Assumptions!$C$71*Assumptions!$C$70)</f>
        <v>7197.29307849856</v>
      </c>
      <c r="V114" s="65" t="n">
        <f aca="false">V17*(MIN(((Assumptions!$D$96*IF(Assumptions!V$206=2027,1+Assumptions!$F$193,1))/12),Assumptions!V$222)*Assumptions!$C$62+((Assumptions!$D$96*IF(Assumptions!V$206=2027,1+Assumptions!$F$193,1))/12)*Assumptions!$C$63+((Assumptions!$D$96*IF(Assumptions!V$206=2027,1+Assumptions!$F$193,1))/12)*Assumptions!$C$71*Assumptions!$C$70)</f>
        <v>7197.28072209309</v>
      </c>
      <c r="W114" s="65" t="n">
        <f aca="false">W17*(MIN(((Assumptions!$D$96*IF(Assumptions!W$206=2027,1+Assumptions!$F$193,1))/12),Assumptions!W$222)*Assumptions!$C$62+((Assumptions!$D$96*IF(Assumptions!W$206=2027,1+Assumptions!$F$193,1))/12)*Assumptions!$C$63+((Assumptions!$D$96*IF(Assumptions!W$206=2027,1+Assumptions!$F$193,1))/12)*Assumptions!$C$71*Assumptions!$C$70)</f>
        <v>7197.27690332347</v>
      </c>
      <c r="X114" s="65" t="n">
        <f aca="false">X17*(MIN(((Assumptions!$D$96*IF(Assumptions!X$206=2027,1+Assumptions!$F$193,1))/12),Assumptions!X$222)*Assumptions!$C$62+((Assumptions!$D$96*IF(Assumptions!X$206=2027,1+Assumptions!$F$193,1))/12)*Assumptions!$C$63+((Assumptions!$D$96*IF(Assumptions!X$206=2027,1+Assumptions!$F$193,1))/12)*Assumptions!$C$71*Assumptions!$C$70)</f>
        <v>7197.27717290972</v>
      </c>
      <c r="Y114" s="65" t="n">
        <f aca="false">Y17*(MIN(((Assumptions!$D$96*IF(Assumptions!Y$206=2027,1+Assumptions!$F$193,1))/12),Assumptions!Y$222)*Assumptions!$C$62+((Assumptions!$D$96*IF(Assumptions!Y$206=2027,1+Assumptions!$F$193,1))/12)*Assumptions!$C$63+((Assumptions!$D$96*IF(Assumptions!Y$206=2027,1+Assumptions!$F$193,1))/12)*Assumptions!$C$71*Assumptions!$C$70)</f>
        <v>7197.27723206278</v>
      </c>
      <c r="Z114" s="65" t="n">
        <f aca="false">Z17*(MIN(((Assumptions!$D$96*IF(Assumptions!Z$206=2027,1+Assumptions!$F$193,1))/12),Assumptions!Z$222)*Assumptions!$C$62+((Assumptions!$D$96*IF(Assumptions!Z$206=2027,1+Assumptions!$F$193,1))/12)*Assumptions!$C$63+((Assumptions!$D$96*IF(Assumptions!Z$206=2027,1+Assumptions!$F$193,1))/12)*Assumptions!$C$71*Assumptions!$C$70)</f>
        <v>7197.27722658379</v>
      </c>
      <c r="AA114" s="65" t="n">
        <f aca="false">AA17*(MIN(((Assumptions!$D$96*IF(Assumptions!AA$206=2027,1+Assumptions!$F$193,1))/12),Assumptions!AA$222)*Assumptions!$C$62+((Assumptions!$D$96*IF(Assumptions!AA$206=2027,1+Assumptions!$F$193,1))/12)*Assumptions!$C$63+((Assumptions!$D$96*IF(Assumptions!AA$206=2027,1+Assumptions!$F$193,1))/12)*Assumptions!$C$71*Assumptions!$C$70)</f>
        <v>7197.27722568922</v>
      </c>
      <c r="AB114" s="65" t="n">
        <f aca="false">AB17*(MIN(((Assumptions!$D$96*IF(Assumptions!AB$206=2027,1+Assumptions!$F$193,1))/12),Assumptions!AB$222)*Assumptions!$C$62+((Assumptions!$D$96*IF(Assumptions!AB$206=2027,1+Assumptions!$F$193,1))/12)*Assumptions!$C$63+((Assumptions!$D$96*IF(Assumptions!AB$206=2027,1+Assumptions!$F$193,1))/12)*Assumptions!$C$71*Assumptions!$C$70)</f>
        <v>7197.27722579545</v>
      </c>
    </row>
    <row r="115" customFormat="false" ht="15" hidden="false" customHeight="false" outlineLevel="0" collapsed="false">
      <c r="A115" s="28" t="s">
        <v>1201</v>
      </c>
      <c r="B115" s="62"/>
      <c r="C115" s="64" t="n">
        <f aca="false">SUM(E115:P115)</f>
        <v>23369.6983098399</v>
      </c>
      <c r="D115" s="64" t="n">
        <f aca="false">SUM(Q115:AB115)</f>
        <v>25191.0022251058</v>
      </c>
      <c r="E115" s="65" t="n">
        <f aca="false">E18*(MIN(((Assumptions!$D$97*IF(Assumptions!E$206=2027,1+Assumptions!$F$193,1))/12),Assumptions!E$222)*Assumptions!$C$62+((Assumptions!$D$97*IF(Assumptions!E$206=2027,1+Assumptions!$F$193,1))/12)*Assumptions!$C$63+((Assumptions!$D$97*IF(Assumptions!E$206=2027,1+Assumptions!$F$193,1))/12)*Assumptions!$C$71*Assumptions!$C$70)</f>
        <v>2244.03333333333</v>
      </c>
      <c r="F115" s="65" t="n">
        <f aca="false">F18*(MIN(((Assumptions!$D$97*IF(Assumptions!F$206=2027,1+Assumptions!$F$193,1))/12),Assumptions!F$222)*Assumptions!$C$62+((Assumptions!$D$97*IF(Assumptions!F$206=2027,1+Assumptions!$F$193,1))/12)*Assumptions!$C$63+((Assumptions!$D$97*IF(Assumptions!F$206=2027,1+Assumptions!$F$193,1))/12)*Assumptions!$C$71*Assumptions!$C$70)</f>
        <v>2244.03333333333</v>
      </c>
      <c r="G115" s="65" t="n">
        <f aca="false">G18*(MIN(((Assumptions!$D$97*IF(Assumptions!G$206=2027,1+Assumptions!$F$193,1))/12),Assumptions!G$222)*Assumptions!$C$62+((Assumptions!$D$97*IF(Assumptions!G$206=2027,1+Assumptions!$F$193,1))/12)*Assumptions!$C$63+((Assumptions!$D$97*IF(Assumptions!G$206=2027,1+Assumptions!$F$193,1))/12)*Assumptions!$C$71*Assumptions!$C$70)</f>
        <v>2244.03333333333</v>
      </c>
      <c r="H115" s="65" t="n">
        <f aca="false">H18*(MIN(((Assumptions!$D$97*IF(Assumptions!H$206=2027,1+Assumptions!$F$193,1))/12),Assumptions!H$222)*Assumptions!$C$62+((Assumptions!$D$97*IF(Assumptions!H$206=2027,1+Assumptions!$F$193,1))/12)*Assumptions!$C$63+((Assumptions!$D$97*IF(Assumptions!H$206=2027,1+Assumptions!$F$193,1))/12)*Assumptions!$C$71*Assumptions!$C$70)</f>
        <v>2244.03333333333</v>
      </c>
      <c r="I115" s="65" t="n">
        <f aca="false">I18*(MIN(((Assumptions!$D$97*IF(Assumptions!I$206=2027,1+Assumptions!$F$193,1))/12),Assumptions!I$222)*Assumptions!$C$62+((Assumptions!$D$97*IF(Assumptions!I$206=2027,1+Assumptions!$F$193,1))/12)*Assumptions!$C$63+((Assumptions!$D$97*IF(Assumptions!I$206=2027,1+Assumptions!$F$193,1))/12)*Assumptions!$C$71*Assumptions!$C$70)</f>
        <v>2244.03333333333</v>
      </c>
      <c r="J115" s="65" t="n">
        <f aca="false">J18*(MIN(((Assumptions!$D$97*IF(Assumptions!J$206=2027,1+Assumptions!$F$193,1))/12),Assumptions!J$222)*Assumptions!$C$62+((Assumptions!$D$97*IF(Assumptions!J$206=2027,1+Assumptions!$F$193,1))/12)*Assumptions!$C$63+((Assumptions!$D$97*IF(Assumptions!J$206=2027,1+Assumptions!$F$193,1))/12)*Assumptions!$C$71*Assumptions!$C$70)</f>
        <v>2244.03333333333</v>
      </c>
      <c r="K115" s="65" t="n">
        <f aca="false">K18*(MIN(((Assumptions!$D$97*IF(Assumptions!K$206=2027,1+Assumptions!$F$193,1))/12),Assumptions!K$222)*Assumptions!$C$62+((Assumptions!$D$97*IF(Assumptions!K$206=2027,1+Assumptions!$F$193,1))/12)*Assumptions!$C$63+((Assumptions!$D$97*IF(Assumptions!K$206=2027,1+Assumptions!$F$193,1))/12)*Assumptions!$C$71*Assumptions!$C$70)</f>
        <v>1683.025</v>
      </c>
      <c r="L115" s="65" t="n">
        <f aca="false">L18*(MIN(((Assumptions!$D$97*IF(Assumptions!L$206=2027,1+Assumptions!$F$193,1))/12),Assumptions!L$222)*Assumptions!$C$62+((Assumptions!$D$97*IF(Assumptions!L$206=2027,1+Assumptions!$F$193,1))/12)*Assumptions!$C$63+((Assumptions!$D$97*IF(Assumptions!L$206=2027,1+Assumptions!$F$193,1))/12)*Assumptions!$C$71*Assumptions!$C$70)</f>
        <v>1683.025</v>
      </c>
      <c r="M115" s="65" t="n">
        <f aca="false">M18*(MIN(((Assumptions!$D$97*IF(Assumptions!M$206=2027,1+Assumptions!$F$193,1))/12),Assumptions!M$222)*Assumptions!$C$62+((Assumptions!$D$97*IF(Assumptions!M$206=2027,1+Assumptions!$F$193,1))/12)*Assumptions!$C$63+((Assumptions!$D$97*IF(Assumptions!M$206=2027,1+Assumptions!$F$193,1))/12)*Assumptions!$C$71*Assumptions!$C$70)</f>
        <v>1654.97458333333</v>
      </c>
      <c r="N115" s="65" t="n">
        <f aca="false">N18*(MIN(((Assumptions!$D$97*IF(Assumptions!N$206=2027,1+Assumptions!$F$193,1))/12),Assumptions!N$222)*Assumptions!$C$62+((Assumptions!$D$97*IF(Assumptions!N$206=2027,1+Assumptions!$F$193,1))/12)*Assumptions!$C$63+((Assumptions!$D$97*IF(Assumptions!N$206=2027,1+Assumptions!$F$193,1))/12)*Assumptions!$C$71*Assumptions!$C$70)</f>
        <v>1627.39167361111</v>
      </c>
      <c r="O115" s="65" t="n">
        <f aca="false">O18*(MIN(((Assumptions!$D$97*IF(Assumptions!O$206=2027,1+Assumptions!$F$193,1))/12),Assumptions!O$222)*Assumptions!$C$62+((Assumptions!$D$97*IF(Assumptions!O$206=2027,1+Assumptions!$F$193,1))/12)*Assumptions!$C$63+((Assumptions!$D$97*IF(Assumptions!O$206=2027,1+Assumptions!$F$193,1))/12)*Assumptions!$C$71*Assumptions!$C$70)</f>
        <v>1628.31889571759</v>
      </c>
      <c r="P115" s="65" t="n">
        <f aca="false">P18*(MIN(((Assumptions!$D$97*IF(Assumptions!P$206=2027,1+Assumptions!$F$193,1))/12),Assumptions!P$222)*Assumptions!$C$62+((Assumptions!$D$97*IF(Assumptions!P$206=2027,1+Assumptions!$F$193,1))/12)*Assumptions!$C$63+((Assumptions!$D$97*IF(Assumptions!P$206=2027,1+Assumptions!$F$193,1))/12)*Assumptions!$C$71*Assumptions!$C$70)</f>
        <v>1628.76315717786</v>
      </c>
      <c r="Q115" s="65" t="n">
        <f aca="false">Q18*(MIN(((Assumptions!$D$97*IF(Assumptions!Q$206=2027,1+Assumptions!$F$193,1))/12),Assumptions!Q$222)*Assumptions!$C$62+((Assumptions!$D$97*IF(Assumptions!Q$206=2027,1+Assumptions!$F$193,1))/12)*Assumptions!$C$63+((Assumptions!$D$97*IF(Assumptions!Q$206=2027,1+Assumptions!$F$193,1))/12)*Assumptions!$C$71*Assumptions!$C$70)</f>
        <v>1677.60250809196</v>
      </c>
      <c r="R115" s="65" t="n">
        <f aca="false">R18*(MIN(((Assumptions!$D$97*IF(Assumptions!R$206=2027,1+Assumptions!$F$193,1))/12),Assumptions!R$222)*Assumptions!$C$62+((Assumptions!$D$97*IF(Assumptions!R$206=2027,1+Assumptions!$F$193,1))/12)*Assumptions!$C$63+((Assumptions!$D$97*IF(Assumptions!R$206=2027,1+Assumptions!$F$193,1))/12)*Assumptions!$C$71*Assumptions!$C$70)</f>
        <v>1677.59527400025</v>
      </c>
      <c r="S115" s="65" t="n">
        <f aca="false">S18*(MIN(((Assumptions!$D$97*IF(Assumptions!S$206=2027,1+Assumptions!$F$193,1))/12),Assumptions!S$222)*Assumptions!$C$62+((Assumptions!$D$97*IF(Assumptions!S$206=2027,1+Assumptions!$F$193,1))/12)*Assumptions!$C$63+((Assumptions!$D$97*IF(Assumptions!S$206=2027,1+Assumptions!$F$193,1))/12)*Assumptions!$C$71*Assumptions!$C$70)</f>
        <v>1677.59578696513</v>
      </c>
      <c r="T115" s="65" t="n">
        <f aca="false">T18*(MIN(((Assumptions!$D$97*IF(Assumptions!T$206=2027,1+Assumptions!$F$193,1))/12),Assumptions!T$222)*Assumptions!$C$62+((Assumptions!$D$97*IF(Assumptions!T$206=2027,1+Assumptions!$F$193,1))/12)*Assumptions!$C$63+((Assumptions!$D$97*IF(Assumptions!T$206=2027,1+Assumptions!$F$193,1))/12)*Assumptions!$C$71*Assumptions!$C$70)</f>
        <v>2255.43448231724</v>
      </c>
      <c r="U115" s="65" t="n">
        <f aca="false">U18*(MIN(((Assumptions!$D$97*IF(Assumptions!U$206=2027,1+Assumptions!$F$193,1))/12),Assumptions!U$222)*Assumptions!$C$62+((Assumptions!$D$97*IF(Assumptions!U$206=2027,1+Assumptions!$F$193,1))/12)*Assumptions!$C$63+((Assumptions!$D$97*IF(Assumptions!U$206=2027,1+Assumptions!$F$193,1))/12)*Assumptions!$C$71*Assumptions!$C$70)</f>
        <v>2245.80382884529</v>
      </c>
      <c r="V115" s="65" t="n">
        <f aca="false">V18*(MIN(((Assumptions!$D$97*IF(Assumptions!V$206=2027,1+Assumptions!$F$193,1))/12),Assumptions!V$222)*Assumptions!$C$62+((Assumptions!$D$97*IF(Assumptions!V$206=2027,1+Assumptions!$F$193,1))/12)*Assumptions!$C$63+((Assumptions!$D$97*IF(Assumptions!V$206=2027,1+Assumptions!$F$193,1))/12)*Assumptions!$C$71*Assumptions!$C$70)</f>
        <v>2236.33369481396</v>
      </c>
      <c r="W115" s="65" t="n">
        <f aca="false">W18*(MIN(((Assumptions!$D$97*IF(Assumptions!W$206=2027,1+Assumptions!$F$193,1))/12),Assumptions!W$222)*Assumptions!$C$62+((Assumptions!$D$97*IF(Assumptions!W$206=2027,1+Assumptions!$F$193,1))/12)*Assumptions!$C$63+((Assumptions!$D$97*IF(Assumptions!W$206=2027,1+Assumptions!$F$193,1))/12)*Assumptions!$C$71*Assumptions!$C$70)</f>
        <v>2236.65204127235</v>
      </c>
      <c r="X115" s="65" t="n">
        <f aca="false">X18*(MIN(((Assumptions!$D$97*IF(Assumptions!X$206=2027,1+Assumptions!$F$193,1))/12),Assumptions!X$222)*Assumptions!$C$62+((Assumptions!$D$97*IF(Assumptions!X$206=2027,1+Assumptions!$F$193,1))/12)*Assumptions!$C$63+((Assumptions!$D$97*IF(Assumptions!X$206=2027,1+Assumptions!$F$193,1))/12)*Assumptions!$C$71*Assumptions!$C$70)</f>
        <v>2236.80457106523</v>
      </c>
      <c r="Y115" s="65" t="n">
        <f aca="false">Y18*(MIN(((Assumptions!$D$97*IF(Assumptions!Y$206=2027,1+Assumptions!$F$193,1))/12),Assumptions!Y$222)*Assumptions!$C$62+((Assumptions!$D$97*IF(Assumptions!Y$206=2027,1+Assumptions!$F$193,1))/12)*Assumptions!$C$63+((Assumptions!$D$97*IF(Assumptions!Y$206=2027,1+Assumptions!$F$193,1))/12)*Assumptions!$C$71*Assumptions!$C$70)</f>
        <v>2236.79672312771</v>
      </c>
      <c r="Z115" s="65" t="n">
        <f aca="false">Z18*(MIN(((Assumptions!$D$97*IF(Assumptions!Z$206=2027,1+Assumptions!$F$193,1))/12),Assumptions!Z$222)*Assumptions!$C$62+((Assumptions!$D$97*IF(Assumptions!Z$206=2027,1+Assumptions!$F$193,1))/12)*Assumptions!$C$63+((Assumptions!$D$97*IF(Assumptions!Z$206=2027,1+Assumptions!$F$193,1))/12)*Assumptions!$C$71*Assumptions!$C$70)</f>
        <v>2236.79431176345</v>
      </c>
      <c r="AA115" s="65" t="n">
        <f aca="false">AA18*(MIN(((Assumptions!$D$97*IF(Assumptions!AA$206=2027,1+Assumptions!$F$193,1))/12),Assumptions!AA$222)*Assumptions!$C$62+((Assumptions!$D$97*IF(Assumptions!AA$206=2027,1+Assumptions!$F$193,1))/12)*Assumptions!$C$63+((Assumptions!$D$97*IF(Assumptions!AA$206=2027,1+Assumptions!$F$193,1))/12)*Assumptions!$C$71*Assumptions!$C$70)</f>
        <v>2236.79448275181</v>
      </c>
      <c r="AB115" s="65" t="n">
        <f aca="false">AB18*(MIN(((Assumptions!$D$97*IF(Assumptions!AB$206=2027,1+Assumptions!$F$193,1))/12),Assumptions!AB$222)*Assumptions!$C$62+((Assumptions!$D$97*IF(Assumptions!AB$206=2027,1+Assumptions!$F$193,1))/12)*Assumptions!$C$63+((Assumptions!$D$97*IF(Assumptions!AB$206=2027,1+Assumptions!$F$193,1))/12)*Assumptions!$C$71*Assumptions!$C$70)</f>
        <v>2236.79452009141</v>
      </c>
    </row>
    <row r="116" customFormat="false" ht="15" hidden="false" customHeight="false" outlineLevel="0" collapsed="false">
      <c r="A116" s="28" t="s">
        <v>1202</v>
      </c>
      <c r="B116" s="62"/>
      <c r="C116" s="64" t="n">
        <f aca="false">SUM(E116:P116)</f>
        <v>42676.6407863357</v>
      </c>
      <c r="D116" s="64" t="n">
        <f aca="false">SUM(Q116:AB116)</f>
        <v>53370.5953278815</v>
      </c>
      <c r="E116" s="65" t="n">
        <f aca="false">E19*(MIN(((Assumptions!$D$98*IF(Assumptions!E$206=2027,1+Assumptions!$F$193,1))/12),Assumptions!E$222)*Assumptions!$C$62+((Assumptions!$D$98*IF(Assumptions!E$206=2027,1+Assumptions!$F$193,1))/12)*Assumptions!$C$63+((Assumptions!$D$98*IF(Assumptions!E$206=2027,1+Assumptions!$F$193,1))/12)*Assumptions!$C$71*Assumptions!$C$70)</f>
        <v>3025.22833333333</v>
      </c>
      <c r="F116" s="65" t="n">
        <f aca="false">F19*(MIN(((Assumptions!$D$98*IF(Assumptions!F$206=2027,1+Assumptions!$F$193,1))/12),Assumptions!F$222)*Assumptions!$C$62+((Assumptions!$D$98*IF(Assumptions!F$206=2027,1+Assumptions!$F$193,1))/12)*Assumptions!$C$63+((Assumptions!$D$98*IF(Assumptions!F$206=2027,1+Assumptions!$F$193,1))/12)*Assumptions!$C$71*Assumptions!$C$70)</f>
        <v>3025.22833333333</v>
      </c>
      <c r="G116" s="65" t="n">
        <f aca="false">G19*(MIN(((Assumptions!$D$98*IF(Assumptions!G$206=2027,1+Assumptions!$F$193,1))/12),Assumptions!G$222)*Assumptions!$C$62+((Assumptions!$D$98*IF(Assumptions!G$206=2027,1+Assumptions!$F$193,1))/12)*Assumptions!$C$63+((Assumptions!$D$98*IF(Assumptions!G$206=2027,1+Assumptions!$F$193,1))/12)*Assumptions!$C$71*Assumptions!$C$70)</f>
        <v>3025.22833333333</v>
      </c>
      <c r="H116" s="65" t="n">
        <f aca="false">H19*(MIN(((Assumptions!$D$98*IF(Assumptions!H$206=2027,1+Assumptions!$F$193,1))/12),Assumptions!H$222)*Assumptions!$C$62+((Assumptions!$D$98*IF(Assumptions!H$206=2027,1+Assumptions!$F$193,1))/12)*Assumptions!$C$63+((Assumptions!$D$98*IF(Assumptions!H$206=2027,1+Assumptions!$F$193,1))/12)*Assumptions!$C$71*Assumptions!$C$70)</f>
        <v>3781.53541666667</v>
      </c>
      <c r="I116" s="65" t="n">
        <f aca="false">I19*(MIN(((Assumptions!$D$98*IF(Assumptions!I$206=2027,1+Assumptions!$F$193,1))/12),Assumptions!I$222)*Assumptions!$C$62+((Assumptions!$D$98*IF(Assumptions!I$206=2027,1+Assumptions!$F$193,1))/12)*Assumptions!$C$63+((Assumptions!$D$98*IF(Assumptions!I$206=2027,1+Assumptions!$F$193,1))/12)*Assumptions!$C$71*Assumptions!$C$70)</f>
        <v>3781.53541666667</v>
      </c>
      <c r="J116" s="65" t="n">
        <f aca="false">J19*(MIN(((Assumptions!$D$98*IF(Assumptions!J$206=2027,1+Assumptions!$F$193,1))/12),Assumptions!J$222)*Assumptions!$C$62+((Assumptions!$D$98*IF(Assumptions!J$206=2027,1+Assumptions!$F$193,1))/12)*Assumptions!$C$63+((Assumptions!$D$98*IF(Assumptions!J$206=2027,1+Assumptions!$F$193,1))/12)*Assumptions!$C$71*Assumptions!$C$70)</f>
        <v>3781.53541666667</v>
      </c>
      <c r="K116" s="65" t="n">
        <f aca="false">K19*(MIN(((Assumptions!$D$98*IF(Assumptions!K$206=2027,1+Assumptions!$F$193,1))/12),Assumptions!K$222)*Assumptions!$C$62+((Assumptions!$D$98*IF(Assumptions!K$206=2027,1+Assumptions!$F$193,1))/12)*Assumptions!$C$63+((Assumptions!$D$98*IF(Assumptions!K$206=2027,1+Assumptions!$F$193,1))/12)*Assumptions!$C$71*Assumptions!$C$70)</f>
        <v>3781.53541666667</v>
      </c>
      <c r="L116" s="65" t="n">
        <f aca="false">L19*(MIN(((Assumptions!$D$98*IF(Assumptions!L$206=2027,1+Assumptions!$F$193,1))/12),Assumptions!L$222)*Assumptions!$C$62+((Assumptions!$D$98*IF(Assumptions!L$206=2027,1+Assumptions!$F$193,1))/12)*Assumptions!$C$63+((Assumptions!$D$98*IF(Assumptions!L$206=2027,1+Assumptions!$F$193,1))/12)*Assumptions!$C$71*Assumptions!$C$70)</f>
        <v>3781.53541666667</v>
      </c>
      <c r="M116" s="65" t="n">
        <f aca="false">M19*(MIN(((Assumptions!$D$98*IF(Assumptions!M$206=2027,1+Assumptions!$F$193,1))/12),Assumptions!M$222)*Assumptions!$C$62+((Assumptions!$D$98*IF(Assumptions!M$206=2027,1+Assumptions!$F$193,1))/12)*Assumptions!$C$63+((Assumptions!$D$98*IF(Assumptions!M$206=2027,1+Assumptions!$F$193,1))/12)*Assumptions!$C$71*Assumptions!$C$70)</f>
        <v>3718.50982638889</v>
      </c>
      <c r="N116" s="65" t="n">
        <f aca="false">N19*(MIN(((Assumptions!$D$98*IF(Assumptions!N$206=2027,1+Assumptions!$F$193,1))/12),Assumptions!N$222)*Assumptions!$C$62+((Assumptions!$D$98*IF(Assumptions!N$206=2027,1+Assumptions!$F$193,1))/12)*Assumptions!$C$63+((Assumptions!$D$98*IF(Assumptions!N$206=2027,1+Assumptions!$F$193,1))/12)*Assumptions!$C$71*Assumptions!$C$70)</f>
        <v>3656.53466261574</v>
      </c>
      <c r="O116" s="65" t="n">
        <f aca="false">O19*(MIN(((Assumptions!$D$98*IF(Assumptions!O$206=2027,1+Assumptions!$F$193,1))/12),Assumptions!O$222)*Assumptions!$C$62+((Assumptions!$D$98*IF(Assumptions!O$206=2027,1+Assumptions!$F$193,1))/12)*Assumptions!$C$63+((Assumptions!$D$98*IF(Assumptions!O$206=2027,1+Assumptions!$F$193,1))/12)*Assumptions!$C$71*Assumptions!$C$70)</f>
        <v>3658.61800851659</v>
      </c>
      <c r="P116" s="65" t="n">
        <f aca="false">P19*(MIN(((Assumptions!$D$98*IF(Assumptions!P$206=2027,1+Assumptions!$F$193,1))/12),Assumptions!P$222)*Assumptions!$C$62+((Assumptions!$D$98*IF(Assumptions!P$206=2027,1+Assumptions!$F$193,1))/12)*Assumptions!$C$63+((Assumptions!$D$98*IF(Assumptions!P$206=2027,1+Assumptions!$F$193,1))/12)*Assumptions!$C$71*Assumptions!$C$70)</f>
        <v>3659.61620548113</v>
      </c>
      <c r="Q116" s="65" t="n">
        <f aca="false">Q19*(MIN(((Assumptions!$D$98*IF(Assumptions!Q$206=2027,1+Assumptions!$F$193,1))/12),Assumptions!Q$222)*Assumptions!$C$62+((Assumptions!$D$98*IF(Assumptions!Q$206=2027,1+Assumptions!$F$193,1))/12)*Assumptions!$C$63+((Assumptions!$D$98*IF(Assumptions!Q$206=2027,1+Assumptions!$F$193,1))/12)*Assumptions!$C$71*Assumptions!$C$70)</f>
        <v>3755.94681956612</v>
      </c>
      <c r="R116" s="65" t="n">
        <f aca="false">R19*(MIN(((Assumptions!$D$98*IF(Assumptions!R$206=2027,1+Assumptions!$F$193,1))/12),Assumptions!R$222)*Assumptions!$C$62+((Assumptions!$D$98*IF(Assumptions!R$206=2027,1+Assumptions!$F$193,1))/12)*Assumptions!$C$63+((Assumptions!$D$98*IF(Assumptions!R$206=2027,1+Assumptions!$F$193,1))/12)*Assumptions!$C$71*Assumptions!$C$70)</f>
        <v>4532.15656915294</v>
      </c>
      <c r="S116" s="65" t="n">
        <f aca="false">S19*(MIN(((Assumptions!$D$98*IF(Assumptions!S$206=2027,1+Assumptions!$F$193,1))/12),Assumptions!S$222)*Assumptions!$C$62+((Assumptions!$D$98*IF(Assumptions!S$206=2027,1+Assumptions!$F$193,1))/12)*Assumptions!$C$63+((Assumptions!$D$98*IF(Assumptions!S$206=2027,1+Assumptions!$F$193,1))/12)*Assumptions!$C$71*Assumptions!$C$70)</f>
        <v>4519.22061852135</v>
      </c>
      <c r="T116" s="65" t="n">
        <f aca="false">T19*(MIN(((Assumptions!$D$98*IF(Assumptions!T$206=2027,1+Assumptions!$F$193,1))/12),Assumptions!T$222)*Assumptions!$C$62+((Assumptions!$D$98*IF(Assumptions!T$206=2027,1+Assumptions!$F$193,1))/12)*Assumptions!$C$63+((Assumptions!$D$98*IF(Assumptions!T$206=2027,1+Assumptions!$F$193,1))/12)*Assumptions!$C$71*Assumptions!$C$70)</f>
        <v>4506.49938853876</v>
      </c>
      <c r="U116" s="65" t="n">
        <f aca="false">U19*(MIN(((Assumptions!$D$98*IF(Assumptions!U$206=2027,1+Assumptions!$F$193,1))/12),Assumptions!U$222)*Assumptions!$C$62+((Assumptions!$D$98*IF(Assumptions!U$206=2027,1+Assumptions!$F$193,1))/12)*Assumptions!$C$63+((Assumptions!$D$98*IF(Assumptions!U$206=2027,1+Assumptions!$F$193,1))/12)*Assumptions!$C$71*Assumptions!$C$70)</f>
        <v>4506.92700821567</v>
      </c>
      <c r="V116" s="65" t="n">
        <f aca="false">V19*(MIN(((Assumptions!$D$98*IF(Assumptions!V$206=2027,1+Assumptions!$F$193,1))/12),Assumptions!V$222)*Assumptions!$C$62+((Assumptions!$D$98*IF(Assumptions!V$206=2027,1+Assumptions!$F$193,1))/12)*Assumptions!$C$63+((Assumptions!$D$98*IF(Assumptions!V$206=2027,1+Assumptions!$F$193,1))/12)*Assumptions!$C$71*Assumptions!$C$70)</f>
        <v>4507.13190172076</v>
      </c>
      <c r="W116" s="65" t="n">
        <f aca="false">W19*(MIN(((Assumptions!$D$98*IF(Assumptions!W$206=2027,1+Assumptions!$F$193,1))/12),Assumptions!W$222)*Assumptions!$C$62+((Assumptions!$D$98*IF(Assumptions!W$206=2027,1+Assumptions!$F$193,1))/12)*Assumptions!$C$63+((Assumptions!$D$98*IF(Assumptions!W$206=2027,1+Assumptions!$F$193,1))/12)*Assumptions!$C$71*Assumptions!$C$70)</f>
        <v>4507.12135983439</v>
      </c>
      <c r="X116" s="65" t="n">
        <f aca="false">X19*(MIN(((Assumptions!$D$98*IF(Assumptions!X$206=2027,1+Assumptions!$F$193,1))/12),Assumptions!X$222)*Assumptions!$C$62+((Assumptions!$D$98*IF(Assumptions!X$206=2027,1+Assumptions!$F$193,1))/12)*Assumptions!$C$63+((Assumptions!$D$98*IF(Assumptions!X$206=2027,1+Assumptions!$F$193,1))/12)*Assumptions!$C$71*Assumptions!$C$70)</f>
        <v>4507.11812064075</v>
      </c>
      <c r="Y116" s="65" t="n">
        <f aca="false">Y19*(MIN(((Assumptions!$D$98*IF(Assumptions!Y$206=2027,1+Assumptions!$F$193,1))/12),Assumptions!Y$222)*Assumptions!$C$62+((Assumptions!$D$98*IF(Assumptions!Y$206=2027,1+Assumptions!$F$193,1))/12)*Assumptions!$C$63+((Assumptions!$D$98*IF(Assumptions!Y$206=2027,1+Assumptions!$F$193,1))/12)*Assumptions!$C$71*Assumptions!$C$70)</f>
        <v>4507.11835032542</v>
      </c>
      <c r="Z116" s="65" t="n">
        <f aca="false">Z19*(MIN(((Assumptions!$D$98*IF(Assumptions!Z$206=2027,1+Assumptions!$F$193,1))/12),Assumptions!Z$222)*Assumptions!$C$62+((Assumptions!$D$98*IF(Assumptions!Z$206=2027,1+Assumptions!$F$193,1))/12)*Assumptions!$C$63+((Assumptions!$D$98*IF(Assumptions!Z$206=2027,1+Assumptions!$F$193,1))/12)*Assumptions!$C$71*Assumptions!$C$70)</f>
        <v>4507.1184004839</v>
      </c>
      <c r="AA116" s="65" t="n">
        <f aca="false">AA19*(MIN(((Assumptions!$D$98*IF(Assumptions!AA$206=2027,1+Assumptions!$F$193,1))/12),Assumptions!AA$222)*Assumptions!$C$62+((Assumptions!$D$98*IF(Assumptions!AA$206=2027,1+Assumptions!$F$193,1))/12)*Assumptions!$C$63+((Assumptions!$D$98*IF(Assumptions!AA$206=2027,1+Assumptions!$F$193,1))/12)*Assumptions!$C$71*Assumptions!$C$70)</f>
        <v>4507.11839581985</v>
      </c>
      <c r="AB116" s="65" t="n">
        <f aca="false">AB19*(MIN(((Assumptions!$D$98*IF(Assumptions!AB$206=2027,1+Assumptions!$F$193,1))/12),Assumptions!AB$222)*Assumptions!$C$62+((Assumptions!$D$98*IF(Assumptions!AB$206=2027,1+Assumptions!$F$193,1))/12)*Assumptions!$C$63+((Assumptions!$D$98*IF(Assumptions!AB$206=2027,1+Assumptions!$F$193,1))/12)*Assumptions!$C$71*Assumptions!$C$70)</f>
        <v>4507.11839506161</v>
      </c>
    </row>
    <row r="117" customFormat="false" ht="15" hidden="false" customHeight="false" outlineLevel="0" collapsed="false">
      <c r="A117" s="28" t="s">
        <v>1203</v>
      </c>
      <c r="B117" s="62"/>
      <c r="C117" s="64" t="n">
        <f aca="false">SUM(E117:P117)</f>
        <v>34304.0745202637</v>
      </c>
      <c r="D117" s="64" t="n">
        <f aca="false">SUM(Q117:AB117)</f>
        <v>34937.764922871</v>
      </c>
      <c r="E117" s="65" t="n">
        <f aca="false">E20*(MIN(((Assumptions!$D$99*IF(Assumptions!E$206=2027,1+Assumptions!$F$193,1))/12),Assumptions!E$222)*Assumptions!$C$62+((Assumptions!$D$99*IF(Assumptions!E$206=2027,1+Assumptions!$F$193,1))/12)*Assumptions!$C$63+((Assumptions!$D$99*IF(Assumptions!E$206=2027,1+Assumptions!$F$193,1))/12)*Assumptions!$C$71*Assumptions!$C$70)</f>
        <v>2869.74833333333</v>
      </c>
      <c r="F117" s="65" t="n">
        <f aca="false">F20*(MIN(((Assumptions!$D$99*IF(Assumptions!F$206=2027,1+Assumptions!$F$193,1))/12),Assumptions!F$222)*Assumptions!$C$62+((Assumptions!$D$99*IF(Assumptions!F$206=2027,1+Assumptions!$F$193,1))/12)*Assumptions!$C$63+((Assumptions!$D$99*IF(Assumptions!F$206=2027,1+Assumptions!$F$193,1))/12)*Assumptions!$C$71*Assumptions!$C$70)</f>
        <v>2869.74833333333</v>
      </c>
      <c r="G117" s="65" t="n">
        <f aca="false">G20*(MIN(((Assumptions!$D$99*IF(Assumptions!G$206=2027,1+Assumptions!$F$193,1))/12),Assumptions!G$222)*Assumptions!$C$62+((Assumptions!$D$99*IF(Assumptions!G$206=2027,1+Assumptions!$F$193,1))/12)*Assumptions!$C$63+((Assumptions!$D$99*IF(Assumptions!G$206=2027,1+Assumptions!$F$193,1))/12)*Assumptions!$C$71*Assumptions!$C$70)</f>
        <v>2869.74833333333</v>
      </c>
      <c r="H117" s="65" t="n">
        <f aca="false">H20*(MIN(((Assumptions!$D$99*IF(Assumptions!H$206=2027,1+Assumptions!$F$193,1))/12),Assumptions!H$222)*Assumptions!$C$62+((Assumptions!$D$99*IF(Assumptions!H$206=2027,1+Assumptions!$F$193,1))/12)*Assumptions!$C$63+((Assumptions!$D$99*IF(Assumptions!H$206=2027,1+Assumptions!$F$193,1))/12)*Assumptions!$C$71*Assumptions!$C$70)</f>
        <v>2869.74833333333</v>
      </c>
      <c r="I117" s="65" t="n">
        <f aca="false">I20*(MIN(((Assumptions!$D$99*IF(Assumptions!I$206=2027,1+Assumptions!$F$193,1))/12),Assumptions!I$222)*Assumptions!$C$62+((Assumptions!$D$99*IF(Assumptions!I$206=2027,1+Assumptions!$F$193,1))/12)*Assumptions!$C$63+((Assumptions!$D$99*IF(Assumptions!I$206=2027,1+Assumptions!$F$193,1))/12)*Assumptions!$C$71*Assumptions!$C$70)</f>
        <v>2869.74833333333</v>
      </c>
      <c r="J117" s="65" t="n">
        <f aca="false">J20*(MIN(((Assumptions!$D$99*IF(Assumptions!J$206=2027,1+Assumptions!$F$193,1))/12),Assumptions!J$222)*Assumptions!$C$62+((Assumptions!$D$99*IF(Assumptions!J$206=2027,1+Assumptions!$F$193,1))/12)*Assumptions!$C$63+((Assumptions!$D$99*IF(Assumptions!J$206=2027,1+Assumptions!$F$193,1))/12)*Assumptions!$C$71*Assumptions!$C$70)</f>
        <v>2869.74833333333</v>
      </c>
      <c r="K117" s="65" t="n">
        <f aca="false">K20*(MIN(((Assumptions!$D$99*IF(Assumptions!K$206=2027,1+Assumptions!$F$193,1))/12),Assumptions!K$222)*Assumptions!$C$62+((Assumptions!$D$99*IF(Assumptions!K$206=2027,1+Assumptions!$F$193,1))/12)*Assumptions!$C$63+((Assumptions!$D$99*IF(Assumptions!K$206=2027,1+Assumptions!$F$193,1))/12)*Assumptions!$C$71*Assumptions!$C$70)</f>
        <v>2869.74833333333</v>
      </c>
      <c r="L117" s="65" t="n">
        <f aca="false">L20*(MIN(((Assumptions!$D$99*IF(Assumptions!L$206=2027,1+Assumptions!$F$193,1))/12),Assumptions!L$222)*Assumptions!$C$62+((Assumptions!$D$99*IF(Assumptions!L$206=2027,1+Assumptions!$F$193,1))/12)*Assumptions!$C$63+((Assumptions!$D$99*IF(Assumptions!L$206=2027,1+Assumptions!$F$193,1))/12)*Assumptions!$C$71*Assumptions!$C$70)</f>
        <v>2869.74833333333</v>
      </c>
      <c r="M117" s="65" t="n">
        <f aca="false">M20*(MIN(((Assumptions!$D$99*IF(Assumptions!M$206=2027,1+Assumptions!$F$193,1))/12),Assumptions!M$222)*Assumptions!$C$62+((Assumptions!$D$99*IF(Assumptions!M$206=2027,1+Assumptions!$F$193,1))/12)*Assumptions!$C$63+((Assumptions!$D$99*IF(Assumptions!M$206=2027,1+Assumptions!$F$193,1))/12)*Assumptions!$C$71*Assumptions!$C$70)</f>
        <v>2850.61667777778</v>
      </c>
      <c r="N117" s="65" t="n">
        <f aca="false">N20*(MIN(((Assumptions!$D$99*IF(Assumptions!N$206=2027,1+Assumptions!$F$193,1))/12),Assumptions!N$222)*Assumptions!$C$62+((Assumptions!$D$99*IF(Assumptions!N$206=2027,1+Assumptions!$F$193,1))/12)*Assumptions!$C$63+((Assumptions!$D$99*IF(Assumptions!N$206=2027,1+Assumptions!$F$193,1))/12)*Assumptions!$C$71*Assumptions!$C$70)</f>
        <v>2831.61256659259</v>
      </c>
      <c r="O117" s="65" t="n">
        <f aca="false">O20*(MIN(((Assumptions!$D$99*IF(Assumptions!O$206=2027,1+Assumptions!$F$193,1))/12),Assumptions!O$222)*Assumptions!$C$62+((Assumptions!$D$99*IF(Assumptions!O$206=2027,1+Assumptions!$F$193,1))/12)*Assumptions!$C$63+((Assumptions!$D$99*IF(Assumptions!O$206=2027,1+Assumptions!$F$193,1))/12)*Assumptions!$C$71*Assumptions!$C$70)</f>
        <v>2831.86680503753</v>
      </c>
      <c r="P117" s="65" t="n">
        <f aca="false">P20*(MIN(((Assumptions!$D$99*IF(Assumptions!P$206=2027,1+Assumptions!$F$193,1))/12),Assumptions!P$222)*Assumptions!$C$62+((Assumptions!$D$99*IF(Assumptions!P$206=2027,1+Assumptions!$F$193,1))/12)*Assumptions!$C$63+((Assumptions!$D$99*IF(Assumptions!P$206=2027,1+Assumptions!$F$193,1))/12)*Assumptions!$C$71*Assumptions!$C$70)</f>
        <v>2831.99180418913</v>
      </c>
      <c r="Q117" s="65" t="n">
        <f aca="false">Q20*(MIN(((Assumptions!$D$99*IF(Assumptions!Q$206=2027,1+Assumptions!$F$193,1))/12),Assumptions!Q$222)*Assumptions!$C$62+((Assumptions!$D$99*IF(Assumptions!Q$206=2027,1+Assumptions!$F$193,1))/12)*Assumptions!$C$63+((Assumptions!$D$99*IF(Assumptions!Q$206=2027,1+Assumptions!$F$193,1))/12)*Assumptions!$C$71*Assumptions!$C$70)</f>
        <v>2911.48115664048</v>
      </c>
      <c r="R117" s="65" t="n">
        <f aca="false">R20*(MIN(((Assumptions!$D$99*IF(Assumptions!R$206=2027,1+Assumptions!$F$193,1))/12),Assumptions!R$222)*Assumptions!$C$62+((Assumptions!$D$99*IF(Assumptions!R$206=2027,1+Assumptions!$F$193,1))/12)*Assumptions!$C$63+((Assumptions!$D$99*IF(Assumptions!R$206=2027,1+Assumptions!$F$193,1))/12)*Assumptions!$C$71*Assumptions!$C$70)</f>
        <v>2911.48031725001</v>
      </c>
      <c r="S117" s="65" t="n">
        <f aca="false">S20*(MIN(((Assumptions!$D$99*IF(Assumptions!S$206=2027,1+Assumptions!$F$193,1))/12),Assumptions!S$222)*Assumptions!$C$62+((Assumptions!$D$99*IF(Assumptions!S$206=2027,1+Assumptions!$F$193,1))/12)*Assumptions!$C$63+((Assumptions!$D$99*IF(Assumptions!S$206=2027,1+Assumptions!$F$193,1))/12)*Assumptions!$C$71*Assumptions!$C$70)</f>
        <v>2911.48034017406</v>
      </c>
      <c r="T117" s="65" t="n">
        <f aca="false">T20*(MIN(((Assumptions!$D$99*IF(Assumptions!T$206=2027,1+Assumptions!$F$193,1))/12),Assumptions!T$222)*Assumptions!$C$62+((Assumptions!$D$99*IF(Assumptions!T$206=2027,1+Assumptions!$F$193,1))/12)*Assumptions!$C$63+((Assumptions!$D$99*IF(Assumptions!T$206=2027,1+Assumptions!$F$193,1))/12)*Assumptions!$C$71*Assumptions!$C$70)</f>
        <v>2911.48034561717</v>
      </c>
      <c r="U117" s="65" t="n">
        <f aca="false">U20*(MIN(((Assumptions!$D$99*IF(Assumptions!U$206=2027,1+Assumptions!$F$193,1))/12),Assumptions!U$222)*Assumptions!$C$62+((Assumptions!$D$99*IF(Assumptions!U$206=2027,1+Assumptions!$F$193,1))/12)*Assumptions!$C$63+((Assumptions!$D$99*IF(Assumptions!U$206=2027,1+Assumptions!$F$193,1))/12)*Assumptions!$C$71*Assumptions!$C$70)</f>
        <v>2911.48034542806</v>
      </c>
      <c r="V117" s="65" t="n">
        <f aca="false">V20*(MIN(((Assumptions!$D$99*IF(Assumptions!V$206=2027,1+Assumptions!$F$193,1))/12),Assumptions!V$222)*Assumptions!$C$62+((Assumptions!$D$99*IF(Assumptions!V$206=2027,1+Assumptions!$F$193,1))/12)*Assumptions!$C$63+((Assumptions!$D$99*IF(Assumptions!V$206=2027,1+Assumptions!$F$193,1))/12)*Assumptions!$C$71*Assumptions!$C$70)</f>
        <v>2911.48034539303</v>
      </c>
      <c r="W117" s="65" t="n">
        <f aca="false">W20*(MIN(((Assumptions!$D$99*IF(Assumptions!W$206=2027,1+Assumptions!$F$193,1))/12),Assumptions!W$222)*Assumptions!$C$62+((Assumptions!$D$99*IF(Assumptions!W$206=2027,1+Assumptions!$F$193,1))/12)*Assumptions!$C$63+((Assumptions!$D$99*IF(Assumptions!W$206=2027,1+Assumptions!$F$193,1))/12)*Assumptions!$C$71*Assumptions!$C$70)</f>
        <v>2911.48034539453</v>
      </c>
      <c r="X117" s="65" t="n">
        <f aca="false">X20*(MIN(((Assumptions!$D$99*IF(Assumptions!X$206=2027,1+Assumptions!$F$193,1))/12),Assumptions!X$222)*Assumptions!$C$62+((Assumptions!$D$99*IF(Assumptions!X$206=2027,1+Assumptions!$F$193,1))/12)*Assumptions!$C$63+((Assumptions!$D$99*IF(Assumptions!X$206=2027,1+Assumptions!$F$193,1))/12)*Assumptions!$C$71*Assumptions!$C$70)</f>
        <v>2911.48034539475</v>
      </c>
      <c r="Y117" s="65" t="n">
        <f aca="false">Y20*(MIN(((Assumptions!$D$99*IF(Assumptions!Y$206=2027,1+Assumptions!$F$193,1))/12),Assumptions!Y$222)*Assumptions!$C$62+((Assumptions!$D$99*IF(Assumptions!Y$206=2027,1+Assumptions!$F$193,1))/12)*Assumptions!$C$63+((Assumptions!$D$99*IF(Assumptions!Y$206=2027,1+Assumptions!$F$193,1))/12)*Assumptions!$C$71*Assumptions!$C$70)</f>
        <v>2911.48034539474</v>
      </c>
      <c r="Z117" s="65" t="n">
        <f aca="false">Z20*(MIN(((Assumptions!$D$99*IF(Assumptions!Z$206=2027,1+Assumptions!$F$193,1))/12),Assumptions!Z$222)*Assumptions!$C$62+((Assumptions!$D$99*IF(Assumptions!Z$206=2027,1+Assumptions!$F$193,1))/12)*Assumptions!$C$63+((Assumptions!$D$99*IF(Assumptions!Z$206=2027,1+Assumptions!$F$193,1))/12)*Assumptions!$C$71*Assumptions!$C$70)</f>
        <v>2911.48034539474</v>
      </c>
      <c r="AA117" s="65" t="n">
        <f aca="false">AA20*(MIN(((Assumptions!$D$99*IF(Assumptions!AA$206=2027,1+Assumptions!$F$193,1))/12),Assumptions!AA$222)*Assumptions!$C$62+((Assumptions!$D$99*IF(Assumptions!AA$206=2027,1+Assumptions!$F$193,1))/12)*Assumptions!$C$63+((Assumptions!$D$99*IF(Assumptions!AA$206=2027,1+Assumptions!$F$193,1))/12)*Assumptions!$C$71*Assumptions!$C$70)</f>
        <v>2911.48034539474</v>
      </c>
      <c r="AB117" s="65" t="n">
        <f aca="false">AB20*(MIN(((Assumptions!$D$99*IF(Assumptions!AB$206=2027,1+Assumptions!$F$193,1))/12),Assumptions!AB$222)*Assumptions!$C$62+((Assumptions!$D$99*IF(Assumptions!AB$206=2027,1+Assumptions!$F$193,1))/12)*Assumptions!$C$63+((Assumptions!$D$99*IF(Assumptions!AB$206=2027,1+Assumptions!$F$193,1))/12)*Assumptions!$C$71*Assumptions!$C$70)</f>
        <v>2911.48034539474</v>
      </c>
    </row>
    <row r="118" customFormat="false" ht="15" hidden="false" customHeight="false" outlineLevel="0" collapsed="false">
      <c r="A118" s="28" t="s">
        <v>1204</v>
      </c>
      <c r="B118" s="62"/>
      <c r="C118" s="64" t="n">
        <f aca="false">SUM(E118:P118)</f>
        <v>48115.6157487976</v>
      </c>
      <c r="D118" s="64" t="n">
        <f aca="false">SUM(Q118:AB118)</f>
        <v>54514.1027538011</v>
      </c>
      <c r="E118" s="65" t="n">
        <f aca="false">E21*(MIN(((Assumptions!$D$100*IF(Assumptions!E$206=2027,1+Assumptions!$F$193,1))/12),Assumptions!E$222)*Assumptions!$C$62+((Assumptions!$D$100*IF(Assumptions!E$206=2027,1+Assumptions!$F$193,1))/12)*Assumptions!$C$63+((Assumptions!$D$100*IF(Assumptions!E$206=2027,1+Assumptions!$F$193,1))/12)*Assumptions!$C$71*Assumptions!$C$70)</f>
        <v>3450.52708333333</v>
      </c>
      <c r="F118" s="65" t="n">
        <f aca="false">F21*(MIN(((Assumptions!$D$100*IF(Assumptions!F$206=2027,1+Assumptions!$F$193,1))/12),Assumptions!F$222)*Assumptions!$C$62+((Assumptions!$D$100*IF(Assumptions!F$206=2027,1+Assumptions!$F$193,1))/12)*Assumptions!$C$63+((Assumptions!$D$100*IF(Assumptions!F$206=2027,1+Assumptions!$F$193,1))/12)*Assumptions!$C$71*Assumptions!$C$70)</f>
        <v>3450.52708333333</v>
      </c>
      <c r="G118" s="65" t="n">
        <f aca="false">G21*(MIN(((Assumptions!$D$100*IF(Assumptions!G$206=2027,1+Assumptions!$F$193,1))/12),Assumptions!G$222)*Assumptions!$C$62+((Assumptions!$D$100*IF(Assumptions!G$206=2027,1+Assumptions!$F$193,1))/12)*Assumptions!$C$63+((Assumptions!$D$100*IF(Assumptions!G$206=2027,1+Assumptions!$F$193,1))/12)*Assumptions!$C$71*Assumptions!$C$70)</f>
        <v>4140.6325</v>
      </c>
      <c r="H118" s="65" t="n">
        <f aca="false">H21*(MIN(((Assumptions!$D$100*IF(Assumptions!H$206=2027,1+Assumptions!$F$193,1))/12),Assumptions!H$222)*Assumptions!$C$62+((Assumptions!$D$100*IF(Assumptions!H$206=2027,1+Assumptions!$F$193,1))/12)*Assumptions!$C$63+((Assumptions!$D$100*IF(Assumptions!H$206=2027,1+Assumptions!$F$193,1))/12)*Assumptions!$C$71*Assumptions!$C$70)</f>
        <v>4140.6325</v>
      </c>
      <c r="I118" s="65" t="n">
        <f aca="false">I21*(MIN(((Assumptions!$D$100*IF(Assumptions!I$206=2027,1+Assumptions!$F$193,1))/12),Assumptions!I$222)*Assumptions!$C$62+((Assumptions!$D$100*IF(Assumptions!I$206=2027,1+Assumptions!$F$193,1))/12)*Assumptions!$C$63+((Assumptions!$D$100*IF(Assumptions!I$206=2027,1+Assumptions!$F$193,1))/12)*Assumptions!$C$71*Assumptions!$C$70)</f>
        <v>4140.6325</v>
      </c>
      <c r="J118" s="65" t="n">
        <f aca="false">J21*(MIN(((Assumptions!$D$100*IF(Assumptions!J$206=2027,1+Assumptions!$F$193,1))/12),Assumptions!J$222)*Assumptions!$C$62+((Assumptions!$D$100*IF(Assumptions!J$206=2027,1+Assumptions!$F$193,1))/12)*Assumptions!$C$63+((Assumptions!$D$100*IF(Assumptions!J$206=2027,1+Assumptions!$F$193,1))/12)*Assumptions!$C$71*Assumptions!$C$70)</f>
        <v>4140.6325</v>
      </c>
      <c r="K118" s="65" t="n">
        <f aca="false">K21*(MIN(((Assumptions!$D$100*IF(Assumptions!K$206=2027,1+Assumptions!$F$193,1))/12),Assumptions!K$222)*Assumptions!$C$62+((Assumptions!$D$100*IF(Assumptions!K$206=2027,1+Assumptions!$F$193,1))/12)*Assumptions!$C$63+((Assumptions!$D$100*IF(Assumptions!K$206=2027,1+Assumptions!$F$193,1))/12)*Assumptions!$C$71*Assumptions!$C$70)</f>
        <v>4140.6325</v>
      </c>
      <c r="L118" s="65" t="n">
        <f aca="false">L21*(MIN(((Assumptions!$D$100*IF(Assumptions!L$206=2027,1+Assumptions!$F$193,1))/12),Assumptions!L$222)*Assumptions!$C$62+((Assumptions!$D$100*IF(Assumptions!L$206=2027,1+Assumptions!$F$193,1))/12)*Assumptions!$C$63+((Assumptions!$D$100*IF(Assumptions!L$206=2027,1+Assumptions!$F$193,1))/12)*Assumptions!$C$71*Assumptions!$C$70)</f>
        <v>4140.6325</v>
      </c>
      <c r="M118" s="65" t="n">
        <f aca="false">M21*(MIN(((Assumptions!$D$100*IF(Assumptions!M$206=2027,1+Assumptions!$F$193,1))/12),Assumptions!M$222)*Assumptions!$C$62+((Assumptions!$D$100*IF(Assumptions!M$206=2027,1+Assumptions!$F$193,1))/12)*Assumptions!$C$63+((Assumptions!$D$100*IF(Assumptions!M$206=2027,1+Assumptions!$F$193,1))/12)*Assumptions!$C$71*Assumptions!$C$70)</f>
        <v>4113.02828333333</v>
      </c>
      <c r="N118" s="65" t="n">
        <f aca="false">N21*(MIN(((Assumptions!$D$100*IF(Assumptions!N$206=2027,1+Assumptions!$F$193,1))/12),Assumptions!N$222)*Assumptions!$C$62+((Assumptions!$D$100*IF(Assumptions!N$206=2027,1+Assumptions!$F$193,1))/12)*Assumptions!$C$63+((Assumptions!$D$100*IF(Assumptions!N$206=2027,1+Assumptions!$F$193,1))/12)*Assumptions!$C$71*Assumptions!$C$70)</f>
        <v>4085.60809477778</v>
      </c>
      <c r="O118" s="65" t="n">
        <f aca="false">O21*(MIN(((Assumptions!$D$100*IF(Assumptions!O$206=2027,1+Assumptions!$F$193,1))/12),Assumptions!O$222)*Assumptions!$C$62+((Assumptions!$D$100*IF(Assumptions!O$206=2027,1+Assumptions!$F$193,1))/12)*Assumptions!$C$63+((Assumptions!$D$100*IF(Assumptions!O$206=2027,1+Assumptions!$F$193,1))/12)*Assumptions!$C$71*Assumptions!$C$70)</f>
        <v>4085.97492414593</v>
      </c>
      <c r="P118" s="65" t="n">
        <f aca="false">P21*(MIN(((Assumptions!$D$100*IF(Assumptions!P$206=2027,1+Assumptions!$F$193,1))/12),Assumptions!P$222)*Assumptions!$C$62+((Assumptions!$D$100*IF(Assumptions!P$206=2027,1+Assumptions!$F$193,1))/12)*Assumptions!$C$63+((Assumptions!$D$100*IF(Assumptions!P$206=2027,1+Assumptions!$F$193,1))/12)*Assumptions!$C$71*Assumptions!$C$70)</f>
        <v>4086.15527987384</v>
      </c>
      <c r="Q118" s="65" t="n">
        <f aca="false">Q21*(MIN(((Assumptions!$D$100*IF(Assumptions!Q$206=2027,1+Assumptions!$F$193,1))/12),Assumptions!Q$222)*Assumptions!$C$62+((Assumptions!$D$100*IF(Assumptions!Q$206=2027,1+Assumptions!$F$193,1))/12)*Assumptions!$C$63+((Assumptions!$D$100*IF(Assumptions!Q$206=2027,1+Assumptions!$F$193,1))/12)*Assumptions!$C$71*Assumptions!$C$70)</f>
        <v>4192.33278820392</v>
      </c>
      <c r="R118" s="65" t="n">
        <f aca="false">R21*(MIN(((Assumptions!$D$100*IF(Assumptions!R$206=2027,1+Assumptions!$F$193,1))/12),Assumptions!R$222)*Assumptions!$C$62+((Assumptions!$D$100*IF(Assumptions!R$206=2027,1+Assumptions!$F$193,1))/12)*Assumptions!$C$63+((Assumptions!$D$100*IF(Assumptions!R$206=2027,1+Assumptions!$F$193,1))/12)*Assumptions!$C$71*Assumptions!$C$70)</f>
        <v>4192.33157953933</v>
      </c>
      <c r="S118" s="65" t="n">
        <f aca="false">S21*(MIN(((Assumptions!$D$100*IF(Assumptions!S$206=2027,1+Assumptions!$F$193,1))/12),Assumptions!S$222)*Assumptions!$C$62+((Assumptions!$D$100*IF(Assumptions!S$206=2027,1+Assumptions!$F$193,1))/12)*Assumptions!$C$63+((Assumptions!$D$100*IF(Assumptions!S$206=2027,1+Assumptions!$F$193,1))/12)*Assumptions!$C$71*Assumptions!$C$70)</f>
        <v>4192.33161254838</v>
      </c>
      <c r="T118" s="65" t="n">
        <f aca="false">T21*(MIN(((Assumptions!$D$100*IF(Assumptions!T$206=2027,1+Assumptions!$F$193,1))/12),Assumptions!T$222)*Assumptions!$C$62+((Assumptions!$D$100*IF(Assumptions!T$206=2027,1+Assumptions!$F$193,1))/12)*Assumptions!$C$63+((Assumptions!$D$100*IF(Assumptions!T$206=2027,1+Assumptions!$F$193,1))/12)*Assumptions!$C$71*Assumptions!$C$70)</f>
        <v>4192.33162038608</v>
      </c>
      <c r="U118" s="65" t="n">
        <f aca="false">U21*(MIN(((Assumptions!$D$100*IF(Assumptions!U$206=2027,1+Assumptions!$F$193,1))/12),Assumptions!U$222)*Assumptions!$C$62+((Assumptions!$D$100*IF(Assumptions!U$206=2027,1+Assumptions!$F$193,1))/12)*Assumptions!$C$63+((Assumptions!$D$100*IF(Assumptions!U$206=2027,1+Assumptions!$F$193,1))/12)*Assumptions!$C$71*Assumptions!$C$70)</f>
        <v>4192.33162011377</v>
      </c>
      <c r="V118" s="65" t="n">
        <f aca="false">V21*(MIN(((Assumptions!$D$100*IF(Assumptions!V$206=2027,1+Assumptions!$F$193,1))/12),Assumptions!V$222)*Assumptions!$C$62+((Assumptions!$D$100*IF(Assumptions!V$206=2027,1+Assumptions!$F$193,1))/12)*Assumptions!$C$63+((Assumptions!$D$100*IF(Assumptions!V$206=2027,1+Assumptions!$F$193,1))/12)*Assumptions!$C$71*Assumptions!$C$70)</f>
        <v>4192.33162006334</v>
      </c>
      <c r="W118" s="65" t="n">
        <f aca="false">W21*(MIN(((Assumptions!$D$100*IF(Assumptions!W$206=2027,1+Assumptions!$F$193,1))/12),Assumptions!W$222)*Assumptions!$C$62+((Assumptions!$D$100*IF(Assumptions!W$206=2027,1+Assumptions!$F$193,1))/12)*Assumptions!$C$63+((Assumptions!$D$100*IF(Assumptions!W$206=2027,1+Assumptions!$F$193,1))/12)*Assumptions!$C$71*Assumptions!$C$70)</f>
        <v>4900.36984923215</v>
      </c>
      <c r="X118" s="65" t="n">
        <f aca="false">X21*(MIN(((Assumptions!$D$100*IF(Assumptions!X$206=2027,1+Assumptions!$F$193,1))/12),Assumptions!X$222)*Assumptions!$C$62+((Assumptions!$D$100*IF(Assumptions!X$206=2027,1+Assumptions!$F$193,1))/12)*Assumptions!$C$63+((Assumptions!$D$100*IF(Assumptions!X$206=2027,1+Assumptions!$F$193,1))/12)*Assumptions!$C$71*Assumptions!$C$70)</f>
        <v>4895.64959437136</v>
      </c>
      <c r="Y118" s="65" t="n">
        <f aca="false">Y21*(MIN(((Assumptions!$D$100*IF(Assumptions!Y$206=2027,1+Assumptions!$F$193,1))/12),Assumptions!Y$222)*Assumptions!$C$62+((Assumptions!$D$100*IF(Assumptions!Y$206=2027,1+Assumptions!$F$193,1))/12)*Assumptions!$C$63+((Assumptions!$D$100*IF(Assumptions!Y$206=2027,1+Assumptions!$F$193,1))/12)*Assumptions!$C$71*Assumptions!$C$70)</f>
        <v>4890.96080787598</v>
      </c>
      <c r="Z118" s="65" t="n">
        <f aca="false">Z21*(MIN(((Assumptions!$D$100*IF(Assumptions!Z$206=2027,1+Assumptions!$F$193,1))/12),Assumptions!Z$222)*Assumptions!$C$62+((Assumptions!$D$100*IF(Assumptions!Z$206=2027,1+Assumptions!$F$193,1))/12)*Assumptions!$C$63+((Assumptions!$D$100*IF(Assumptions!Z$206=2027,1+Assumptions!$F$193,1))/12)*Assumptions!$C$71*Assumptions!$C$70)</f>
        <v>4891.02353481835</v>
      </c>
      <c r="AA118" s="65" t="n">
        <f aca="false">AA21*(MIN(((Assumptions!$D$100*IF(Assumptions!AA$206=2027,1+Assumptions!$F$193,1))/12),Assumptions!AA$222)*Assumptions!$C$62+((Assumptions!$D$100*IF(Assumptions!AA$206=2027,1+Assumptions!$F$193,1))/12)*Assumptions!$C$63+((Assumptions!$D$100*IF(Assumptions!AA$206=2027,1+Assumptions!$F$193,1))/12)*Assumptions!$C$71*Assumptions!$C$70)</f>
        <v>4891.05437521537</v>
      </c>
      <c r="AB118" s="65" t="n">
        <f aca="false">AB21*(MIN(((Assumptions!$D$100*IF(Assumptions!AB$206=2027,1+Assumptions!$F$193,1))/12),Assumptions!AB$222)*Assumptions!$C$62+((Assumptions!$D$100*IF(Assumptions!AB$206=2027,1+Assumptions!$F$193,1))/12)*Assumptions!$C$63+((Assumptions!$D$100*IF(Assumptions!AB$206=2027,1+Assumptions!$F$193,1))/12)*Assumptions!$C$71*Assumptions!$C$70)</f>
        <v>4891.05375143311</v>
      </c>
    </row>
    <row r="119" customFormat="false" ht="15" hidden="false" customHeight="false" outlineLevel="0" collapsed="false">
      <c r="A119" s="28" t="s">
        <v>1205</v>
      </c>
      <c r="B119" s="62"/>
      <c r="C119" s="64" t="n">
        <f aca="false">SUM(E119:P119)</f>
        <v>54690.8316213043</v>
      </c>
      <c r="D119" s="64" t="n">
        <f aca="false">SUM(Q119:AB119)</f>
        <v>63556.2487641255</v>
      </c>
      <c r="E119" s="65" t="n">
        <f aca="false">E9*(MIN(((Assumptions!$D$88*IF(Assumptions!E$206=2027,1+Assumptions!$F$193,1))/12),Assumptions!E$222)*(Assumptions!$C$64+Assumptions!$C$65)+MAX(0,MIN(((Assumptions!$D$88*IF(Assumptions!E$206=2027,1+Assumptions!$F$193,1))/12),8*Assumptions!E$222)-Assumptions!E$222)*(Assumptions!$C$66+Assumptions!$C$67)+IF(((Assumptions!$D$88*IF(Assumptions!E$206=2027,1+Assumptions!$F$193,1))/12)&gt;Assumptions!E$222,MIN(((Assumptions!$D$88*IF(Assumptions!E$206=2027,1+Assumptions!$F$193,1))/12),8*Assumptions!E$222)*Assumptions!$C$68+MIN(((Assumptions!$D$88*IF(Assumptions!E$206=2027,1+Assumptions!$F$193,1))/12),4*Assumptions!E$222)*Assumptions!$C$69,0))</f>
        <v>4049.55483333333</v>
      </c>
      <c r="F119" s="65" t="n">
        <f aca="false">F9*(MIN(((Assumptions!$D$88*IF(Assumptions!F$206=2027,1+Assumptions!$F$193,1))/12),Assumptions!F$222)*(Assumptions!$C$64+Assumptions!$C$65)+MAX(0,MIN(((Assumptions!$D$88*IF(Assumptions!F$206=2027,1+Assumptions!$F$193,1))/12),8*Assumptions!F$222)-Assumptions!F$222)*(Assumptions!$C$66+Assumptions!$C$67)+IF(((Assumptions!$D$88*IF(Assumptions!F$206=2027,1+Assumptions!$F$193,1))/12)&gt;Assumptions!F$222,MIN(((Assumptions!$D$88*IF(Assumptions!F$206=2027,1+Assumptions!$F$193,1))/12),8*Assumptions!F$222)*Assumptions!$C$68+MIN(((Assumptions!$D$88*IF(Assumptions!F$206=2027,1+Assumptions!$F$193,1))/12),4*Assumptions!F$222)*Assumptions!$C$69,0))</f>
        <v>4628.06266666667</v>
      </c>
      <c r="G119" s="65" t="n">
        <f aca="false">G9*(MIN(((Assumptions!$D$88*IF(Assumptions!G$206=2027,1+Assumptions!$F$193,1))/12),Assumptions!G$222)*(Assumptions!$C$64+Assumptions!$C$65)+MAX(0,MIN(((Assumptions!$D$88*IF(Assumptions!G$206=2027,1+Assumptions!$F$193,1))/12),8*Assumptions!G$222)-Assumptions!G$222)*(Assumptions!$C$66+Assumptions!$C$67)+IF(((Assumptions!$D$88*IF(Assumptions!G$206=2027,1+Assumptions!$F$193,1))/12)&gt;Assumptions!G$222,MIN(((Assumptions!$D$88*IF(Assumptions!G$206=2027,1+Assumptions!$F$193,1))/12),8*Assumptions!G$222)*Assumptions!$C$68+MIN(((Assumptions!$D$88*IF(Assumptions!G$206=2027,1+Assumptions!$F$193,1))/12),4*Assumptions!G$222)*Assumptions!$C$69,0))</f>
        <v>4628.06266666667</v>
      </c>
      <c r="H119" s="65" t="n">
        <f aca="false">H9*(MIN(((Assumptions!$D$88*IF(Assumptions!H$206=2027,1+Assumptions!$F$193,1))/12),Assumptions!H$222)*(Assumptions!$C$64+Assumptions!$C$65)+MAX(0,MIN(((Assumptions!$D$88*IF(Assumptions!H$206=2027,1+Assumptions!$F$193,1))/12),8*Assumptions!H$222)-Assumptions!H$222)*(Assumptions!$C$66+Assumptions!$C$67)+IF(((Assumptions!$D$88*IF(Assumptions!H$206=2027,1+Assumptions!$F$193,1))/12)&gt;Assumptions!H$222,MIN(((Assumptions!$D$88*IF(Assumptions!H$206=2027,1+Assumptions!$F$193,1))/12),8*Assumptions!H$222)*Assumptions!$C$68+MIN(((Assumptions!$D$88*IF(Assumptions!H$206=2027,1+Assumptions!$F$193,1))/12),4*Assumptions!H$222)*Assumptions!$C$69,0))</f>
        <v>4628.06266666667</v>
      </c>
      <c r="I119" s="65" t="n">
        <f aca="false">I9*(MIN(((Assumptions!$D$88*IF(Assumptions!I$206=2027,1+Assumptions!$F$193,1))/12),Assumptions!I$222)*(Assumptions!$C$64+Assumptions!$C$65)+MAX(0,MIN(((Assumptions!$D$88*IF(Assumptions!I$206=2027,1+Assumptions!$F$193,1))/12),8*Assumptions!I$222)-Assumptions!I$222)*(Assumptions!$C$66+Assumptions!$C$67)+IF(((Assumptions!$D$88*IF(Assumptions!I$206=2027,1+Assumptions!$F$193,1))/12)&gt;Assumptions!I$222,MIN(((Assumptions!$D$88*IF(Assumptions!I$206=2027,1+Assumptions!$F$193,1))/12),8*Assumptions!I$222)*Assumptions!$C$68+MIN(((Assumptions!$D$88*IF(Assumptions!I$206=2027,1+Assumptions!$F$193,1))/12),4*Assumptions!I$222)*Assumptions!$C$69,0))</f>
        <v>4628.06266666667</v>
      </c>
      <c r="J119" s="65" t="n">
        <f aca="false">J9*(MIN(((Assumptions!$D$88*IF(Assumptions!J$206=2027,1+Assumptions!$F$193,1))/12),Assumptions!J$222)*(Assumptions!$C$64+Assumptions!$C$65)+MAX(0,MIN(((Assumptions!$D$88*IF(Assumptions!J$206=2027,1+Assumptions!$F$193,1))/12),8*Assumptions!J$222)-Assumptions!J$222)*(Assumptions!$C$66+Assumptions!$C$67)+IF(((Assumptions!$D$88*IF(Assumptions!J$206=2027,1+Assumptions!$F$193,1))/12)&gt;Assumptions!J$222,MIN(((Assumptions!$D$88*IF(Assumptions!J$206=2027,1+Assumptions!$F$193,1))/12),8*Assumptions!J$222)*Assumptions!$C$68+MIN(((Assumptions!$D$88*IF(Assumptions!J$206=2027,1+Assumptions!$F$193,1))/12),4*Assumptions!J$222)*Assumptions!$C$69,0))</f>
        <v>4628.06266666667</v>
      </c>
      <c r="K119" s="65" t="n">
        <f aca="false">K9*(MIN(((Assumptions!$D$88*IF(Assumptions!K$206=2027,1+Assumptions!$F$193,1))/12),Assumptions!K$222)*(Assumptions!$C$64+Assumptions!$C$65)+MAX(0,MIN(((Assumptions!$D$88*IF(Assumptions!K$206=2027,1+Assumptions!$F$193,1))/12),8*Assumptions!K$222)-Assumptions!K$222)*(Assumptions!$C$66+Assumptions!$C$67)+IF(((Assumptions!$D$88*IF(Assumptions!K$206=2027,1+Assumptions!$F$193,1))/12)&gt;Assumptions!K$222,MIN(((Assumptions!$D$88*IF(Assumptions!K$206=2027,1+Assumptions!$F$193,1))/12),8*Assumptions!K$222)*Assumptions!$C$68+MIN(((Assumptions!$D$88*IF(Assumptions!K$206=2027,1+Assumptions!$F$193,1))/12),4*Assumptions!K$222)*Assumptions!$C$69,0))</f>
        <v>4628.06266666667</v>
      </c>
      <c r="L119" s="65" t="n">
        <f aca="false">L9*(MIN(((Assumptions!$D$88*IF(Assumptions!L$206=2027,1+Assumptions!$F$193,1))/12),Assumptions!L$222)*(Assumptions!$C$64+Assumptions!$C$65)+MAX(0,MIN(((Assumptions!$D$88*IF(Assumptions!L$206=2027,1+Assumptions!$F$193,1))/12),8*Assumptions!L$222)-Assumptions!L$222)*(Assumptions!$C$66+Assumptions!$C$67)+IF(((Assumptions!$D$88*IF(Assumptions!L$206=2027,1+Assumptions!$F$193,1))/12)&gt;Assumptions!L$222,MIN(((Assumptions!$D$88*IF(Assumptions!L$206=2027,1+Assumptions!$F$193,1))/12),8*Assumptions!L$222)*Assumptions!$C$68+MIN(((Assumptions!$D$88*IF(Assumptions!L$206=2027,1+Assumptions!$F$193,1))/12),4*Assumptions!L$222)*Assumptions!$C$69,0))</f>
        <v>4628.06266666667</v>
      </c>
      <c r="M119" s="65" t="n">
        <f aca="false">M9*(MIN(((Assumptions!$D$88*IF(Assumptions!M$206=2027,1+Assumptions!$F$193,1))/12),Assumptions!M$222)*(Assumptions!$C$64+Assumptions!$C$65)+MAX(0,MIN(((Assumptions!$D$88*IF(Assumptions!M$206=2027,1+Assumptions!$F$193,1))/12),8*Assumptions!M$222)-Assumptions!M$222)*(Assumptions!$C$66+Assumptions!$C$67)+IF(((Assumptions!$D$88*IF(Assumptions!M$206=2027,1+Assumptions!$F$193,1))/12)&gt;Assumptions!M$222,MIN(((Assumptions!$D$88*IF(Assumptions!M$206=2027,1+Assumptions!$F$193,1))/12),8*Assumptions!M$222)*Assumptions!$C$68+MIN(((Assumptions!$D$88*IF(Assumptions!M$206=2027,1+Assumptions!$F$193,1))/12),4*Assumptions!M$222)*Assumptions!$C$69,0))</f>
        <v>4589.49547777778</v>
      </c>
      <c r="N119" s="65" t="n">
        <f aca="false">N9*(MIN(((Assumptions!$D$88*IF(Assumptions!N$206=2027,1+Assumptions!$F$193,1))/12),Assumptions!N$222)*(Assumptions!$C$64+Assumptions!$C$65)+MAX(0,MIN(((Assumptions!$D$88*IF(Assumptions!N$206=2027,1+Assumptions!$F$193,1))/12),8*Assumptions!N$222)-Assumptions!N$222)*(Assumptions!$C$66+Assumptions!$C$67)+IF(((Assumptions!$D$88*IF(Assumptions!N$206=2027,1+Assumptions!$F$193,1))/12)&gt;Assumptions!N$222,MIN(((Assumptions!$D$88*IF(Assumptions!N$206=2027,1+Assumptions!$F$193,1))/12),8*Assumptions!N$222)*Assumptions!$C$68+MIN(((Assumptions!$D$88*IF(Assumptions!N$206=2027,1+Assumptions!$F$193,1))/12),4*Assumptions!N$222)*Assumptions!$C$69,0))</f>
        <v>4551.24968212963</v>
      </c>
      <c r="O119" s="65" t="n">
        <f aca="false">O9*(MIN(((Assumptions!$D$88*IF(Assumptions!O$206=2027,1+Assumptions!$F$193,1))/12),Assumptions!O$222)*(Assumptions!$C$64+Assumptions!$C$65)+MAX(0,MIN(((Assumptions!$D$88*IF(Assumptions!O$206=2027,1+Assumptions!$F$193,1))/12),8*Assumptions!O$222)-Assumptions!O$222)*(Assumptions!$C$66+Assumptions!$C$67)+IF(((Assumptions!$D$88*IF(Assumptions!O$206=2027,1+Assumptions!$F$193,1))/12)&gt;Assumptions!O$222,MIN(((Assumptions!$D$88*IF(Assumptions!O$206=2027,1+Assumptions!$F$193,1))/12),8*Assumptions!O$222)*Assumptions!$C$68+MIN(((Assumptions!$D$88*IF(Assumptions!O$206=2027,1+Assumptions!$F$193,1))/12),4*Assumptions!O$222)*Assumptions!$C$69,0))</f>
        <v>4551.88979033411</v>
      </c>
      <c r="P119" s="65" t="n">
        <f aca="false">P9*(MIN(((Assumptions!$D$88*IF(Assumptions!P$206=2027,1+Assumptions!$F$193,1))/12),Assumptions!P$222)*(Assumptions!$C$64+Assumptions!$C$65)+MAX(0,MIN(((Assumptions!$D$88*IF(Assumptions!P$206=2027,1+Assumptions!$F$193,1))/12),8*Assumptions!P$222)-Assumptions!P$222)*(Assumptions!$C$66+Assumptions!$C$67)+IF(((Assumptions!$D$88*IF(Assumptions!P$206=2027,1+Assumptions!$F$193,1))/12)&gt;Assumptions!P$222,MIN(((Assumptions!$D$88*IF(Assumptions!P$206=2027,1+Assumptions!$F$193,1))/12),8*Assumptions!P$222)*Assumptions!$C$68+MIN(((Assumptions!$D$88*IF(Assumptions!P$206=2027,1+Assumptions!$F$193,1))/12),4*Assumptions!P$222)*Assumptions!$C$69,0))</f>
        <v>4552.2031710628</v>
      </c>
      <c r="Q119" s="65" t="n">
        <f aca="false">Q9*(MIN(((Assumptions!$D$88*IF(Assumptions!Q$206=2027,1+Assumptions!$F$193,1))/12),Assumptions!Q$222)*(Assumptions!$C$64+Assumptions!$C$65)+MAX(0,MIN(((Assumptions!$D$88*IF(Assumptions!Q$206=2027,1+Assumptions!$F$193,1))/12),8*Assumptions!Q$222)-Assumptions!Q$222)*(Assumptions!$C$66+Assumptions!$C$67)+IF(((Assumptions!$D$88*IF(Assumptions!Q$206=2027,1+Assumptions!$F$193,1))/12)&gt;Assumptions!Q$222,MIN(((Assumptions!$D$88*IF(Assumptions!Q$206=2027,1+Assumptions!$F$193,1))/12),8*Assumptions!Q$222)*Assumptions!$C$68+MIN(((Assumptions!$D$88*IF(Assumptions!Q$206=2027,1+Assumptions!$F$193,1))/12),4*Assumptions!Q$222)*Assumptions!$C$69,0))</f>
        <v>5304.95658081565</v>
      </c>
      <c r="R119" s="65" t="n">
        <f aca="false">R9*(MIN(((Assumptions!$D$88*IF(Assumptions!R$206=2027,1+Assumptions!$F$193,1))/12),Assumptions!R$222)*(Assumptions!$C$64+Assumptions!$C$65)+MAX(0,MIN(((Assumptions!$D$88*IF(Assumptions!R$206=2027,1+Assumptions!$F$193,1))/12),8*Assumptions!R$222)-Assumptions!R$222)*(Assumptions!$C$66+Assumptions!$C$67)+IF(((Assumptions!$D$88*IF(Assumptions!R$206=2027,1+Assumptions!$F$193,1))/12)&gt;Assumptions!R$222,MIN(((Assumptions!$D$88*IF(Assumptions!R$206=2027,1+Assumptions!$F$193,1))/12),8*Assumptions!R$222)*Assumptions!$C$68+MIN(((Assumptions!$D$88*IF(Assumptions!R$206=2027,1+Assumptions!$F$193,1))/12),4*Assumptions!R$222)*Assumptions!$C$69,0))</f>
        <v>5299.96931880084</v>
      </c>
      <c r="S119" s="65" t="n">
        <f aca="false">S9*(MIN(((Assumptions!$D$88*IF(Assumptions!S$206=2027,1+Assumptions!$F$193,1))/12),Assumptions!S$222)*(Assumptions!$C$64+Assumptions!$C$65)+MAX(0,MIN(((Assumptions!$D$88*IF(Assumptions!S$206=2027,1+Assumptions!$F$193,1))/12),8*Assumptions!S$222)-Assumptions!S$222)*(Assumptions!$C$66+Assumptions!$C$67)+IF(((Assumptions!$D$88*IF(Assumptions!S$206=2027,1+Assumptions!$F$193,1))/12)&gt;Assumptions!S$222,MIN(((Assumptions!$D$88*IF(Assumptions!S$206=2027,1+Assumptions!$F$193,1))/12),8*Assumptions!S$222)*Assumptions!$C$68+MIN(((Assumptions!$D$88*IF(Assumptions!S$206=2027,1+Assumptions!$F$193,1))/12),4*Assumptions!S$222)*Assumptions!$C$69,0))</f>
        <v>5295.0263175032</v>
      </c>
      <c r="T119" s="65" t="n">
        <f aca="false">T9*(MIN(((Assumptions!$D$88*IF(Assumptions!T$206=2027,1+Assumptions!$F$193,1))/12),Assumptions!T$222)*(Assumptions!$C$64+Assumptions!$C$65)+MAX(0,MIN(((Assumptions!$D$88*IF(Assumptions!T$206=2027,1+Assumptions!$F$193,1))/12),8*Assumptions!T$222)-Assumptions!T$222)*(Assumptions!$C$66+Assumptions!$C$67)+IF(((Assumptions!$D$88*IF(Assumptions!T$206=2027,1+Assumptions!$F$193,1))/12)&gt;Assumptions!T$222,MIN(((Assumptions!$D$88*IF(Assumptions!T$206=2027,1+Assumptions!$F$193,1))/12),8*Assumptions!T$222)*Assumptions!$C$68+MIN(((Assumptions!$D$88*IF(Assumptions!T$206=2027,1+Assumptions!$F$193,1))/12),4*Assumptions!T$222)*Assumptions!$C$69,0))</f>
        <v>5295.10906969747</v>
      </c>
      <c r="U119" s="65" t="n">
        <f aca="false">U9*(MIN(((Assumptions!$D$88*IF(Assumptions!U$206=2027,1+Assumptions!$F$193,1))/12),Assumptions!U$222)*(Assumptions!$C$64+Assumptions!$C$65)+MAX(0,MIN(((Assumptions!$D$88*IF(Assumptions!U$206=2027,1+Assumptions!$F$193,1))/12),8*Assumptions!U$222)-Assumptions!U$222)*(Assumptions!$C$66+Assumptions!$C$67)+IF(((Assumptions!$D$88*IF(Assumptions!U$206=2027,1+Assumptions!$F$193,1))/12)&gt;Assumptions!U$222,MIN(((Assumptions!$D$88*IF(Assumptions!U$206=2027,1+Assumptions!$F$193,1))/12),8*Assumptions!U$222)*Assumptions!$C$68+MIN(((Assumptions!$D$88*IF(Assumptions!U$206=2027,1+Assumptions!$F$193,1))/12),4*Assumptions!U$222)*Assumptions!$C$69,0))</f>
        <v>5295.14957177333</v>
      </c>
      <c r="V119" s="65" t="n">
        <f aca="false">V9*(MIN(((Assumptions!$D$88*IF(Assumptions!V$206=2027,1+Assumptions!$F$193,1))/12),Assumptions!V$222)*(Assumptions!$C$64+Assumptions!$C$65)+MAX(0,MIN(((Assumptions!$D$88*IF(Assumptions!V$206=2027,1+Assumptions!$F$193,1))/12),8*Assumptions!V$222)-Assumptions!V$222)*(Assumptions!$C$66+Assumptions!$C$67)+IF(((Assumptions!$D$88*IF(Assumptions!V$206=2027,1+Assumptions!$F$193,1))/12)&gt;Assumptions!V$222,MIN(((Assumptions!$D$88*IF(Assumptions!V$206=2027,1+Assumptions!$F$193,1))/12),8*Assumptions!V$222)*Assumptions!$C$68+MIN(((Assumptions!$D$88*IF(Assumptions!V$206=2027,1+Assumptions!$F$193,1))/12),4*Assumptions!V$222)*Assumptions!$C$69,0))</f>
        <v>5295.14854465441</v>
      </c>
      <c r="W119" s="65" t="n">
        <f aca="false">W9*(MIN(((Assumptions!$D$88*IF(Assumptions!W$206=2027,1+Assumptions!$F$193,1))/12),Assumptions!W$222)*(Assumptions!$C$64+Assumptions!$C$65)+MAX(0,MIN(((Assumptions!$D$88*IF(Assumptions!W$206=2027,1+Assumptions!$F$193,1))/12),8*Assumptions!W$222)-Assumptions!W$222)*(Assumptions!$C$66+Assumptions!$C$67)+IF(((Assumptions!$D$88*IF(Assumptions!W$206=2027,1+Assumptions!$F$193,1))/12)&gt;Assumptions!W$222,MIN(((Assumptions!$D$88*IF(Assumptions!W$206=2027,1+Assumptions!$F$193,1))/12),8*Assumptions!W$222)*Assumptions!$C$68+MIN(((Assumptions!$D$88*IF(Assumptions!W$206=2027,1+Assumptions!$F$193,1))/12),4*Assumptions!W$222)*Assumptions!$C$69,0))</f>
        <v>5295.14821569644</v>
      </c>
      <c r="X119" s="65" t="n">
        <f aca="false">X9*(MIN(((Assumptions!$D$88*IF(Assumptions!X$206=2027,1+Assumptions!$F$193,1))/12),Assumptions!X$222)*(Assumptions!$C$64+Assumptions!$C$65)+MAX(0,MIN(((Assumptions!$D$88*IF(Assumptions!X$206=2027,1+Assumptions!$F$193,1))/12),8*Assumptions!X$222)-Assumptions!X$222)*(Assumptions!$C$66+Assumptions!$C$67)+IF(((Assumptions!$D$88*IF(Assumptions!X$206=2027,1+Assumptions!$F$193,1))/12)&gt;Assumptions!X$222,MIN(((Assumptions!$D$88*IF(Assumptions!X$206=2027,1+Assumptions!$F$193,1))/12),8*Assumptions!X$222)*Assumptions!$C$68+MIN(((Assumptions!$D$88*IF(Assumptions!X$206=2027,1+Assumptions!$F$193,1))/12),4*Assumptions!X$222)*Assumptions!$C$69,0))</f>
        <v>5295.14822699708</v>
      </c>
      <c r="Y119" s="65" t="n">
        <f aca="false">Y9*(MIN(((Assumptions!$D$88*IF(Assumptions!Y$206=2027,1+Assumptions!$F$193,1))/12),Assumptions!Y$222)*(Assumptions!$C$64+Assumptions!$C$65)+MAX(0,MIN(((Assumptions!$D$88*IF(Assumptions!Y$206=2027,1+Assumptions!$F$193,1))/12),8*Assumptions!Y$222)-Assumptions!Y$222)*(Assumptions!$C$66+Assumptions!$C$67)+IF(((Assumptions!$D$88*IF(Assumptions!Y$206=2027,1+Assumptions!$F$193,1))/12)&gt;Assumptions!Y$222,MIN(((Assumptions!$D$88*IF(Assumptions!Y$206=2027,1+Assumptions!$F$193,1))/12),8*Assumptions!Y$222)*Assumptions!$C$68+MIN(((Assumptions!$D$88*IF(Assumptions!Y$206=2027,1+Assumptions!$F$193,1))/12),4*Assumptions!Y$222)*Assumptions!$C$69,0))</f>
        <v>5295.14822964422</v>
      </c>
      <c r="Z119" s="65" t="n">
        <f aca="false">Z9*(MIN(((Assumptions!$D$88*IF(Assumptions!Z$206=2027,1+Assumptions!$F$193,1))/12),Assumptions!Z$222)*(Assumptions!$C$64+Assumptions!$C$65)+MAX(0,MIN(((Assumptions!$D$88*IF(Assumptions!Z$206=2027,1+Assumptions!$F$193,1))/12),8*Assumptions!Z$222)-Assumptions!Z$222)*(Assumptions!$C$66+Assumptions!$C$67)+IF(((Assumptions!$D$88*IF(Assumptions!Z$206=2027,1+Assumptions!$F$193,1))/12)&gt;Assumptions!Z$222,MIN(((Assumptions!$D$88*IF(Assumptions!Z$206=2027,1+Assumptions!$F$193,1))/12),8*Assumptions!Z$222)*Assumptions!$C$68+MIN(((Assumptions!$D$88*IF(Assumptions!Z$206=2027,1+Assumptions!$F$193,1))/12),4*Assumptions!Z$222)*Assumptions!$C$69,0))</f>
        <v>5295.14822952799</v>
      </c>
      <c r="AA119" s="65" t="n">
        <f aca="false">AA9*(MIN(((Assumptions!$D$88*IF(Assumptions!AA$206=2027,1+Assumptions!$F$193,1))/12),Assumptions!AA$222)*(Assumptions!$C$64+Assumptions!$C$65)+MAX(0,MIN(((Assumptions!$D$88*IF(Assumptions!AA$206=2027,1+Assumptions!$F$193,1))/12),8*Assumptions!AA$222)-Assumptions!AA$222)*(Assumptions!$C$66+Assumptions!$C$67)+IF(((Assumptions!$D$88*IF(Assumptions!AA$206=2027,1+Assumptions!$F$193,1))/12)&gt;Assumptions!AA$222,MIN(((Assumptions!$D$88*IF(Assumptions!AA$206=2027,1+Assumptions!$F$193,1))/12),8*Assumptions!AA$222)*Assumptions!$C$68+MIN(((Assumptions!$D$88*IF(Assumptions!AA$206=2027,1+Assumptions!$F$193,1))/12),4*Assumptions!AA$222)*Assumptions!$C$69,0))</f>
        <v>5295.1482295069</v>
      </c>
      <c r="AB119" s="65" t="n">
        <f aca="false">AB9*(MIN(((Assumptions!$D$88*IF(Assumptions!AB$206=2027,1+Assumptions!$F$193,1))/12),Assumptions!AB$222)*(Assumptions!$C$64+Assumptions!$C$65)+MAX(0,MIN(((Assumptions!$D$88*IF(Assumptions!AB$206=2027,1+Assumptions!$F$193,1))/12),8*Assumptions!AB$222)-Assumptions!AB$222)*(Assumptions!$C$66+Assumptions!$C$67)+IF(((Assumptions!$D$88*IF(Assumptions!AB$206=2027,1+Assumptions!$F$193,1))/12)&gt;Assumptions!AB$222,MIN(((Assumptions!$D$88*IF(Assumptions!AB$206=2027,1+Assumptions!$F$193,1))/12),8*Assumptions!AB$222)*Assumptions!$C$68+MIN(((Assumptions!$D$88*IF(Assumptions!AB$206=2027,1+Assumptions!$F$193,1))/12),4*Assumptions!AB$222)*Assumptions!$C$69,0))</f>
        <v>5295.14822950804</v>
      </c>
    </row>
    <row r="120" customFormat="false" ht="15" hidden="false" customHeight="false" outlineLevel="0" collapsed="false">
      <c r="A120" s="28" t="s">
        <v>1206</v>
      </c>
      <c r="B120" s="62"/>
      <c r="C120" s="64" t="n">
        <f aca="false">SUM(E120:P120)</f>
        <v>57241.3500416619</v>
      </c>
      <c r="D120" s="64" t="n">
        <f aca="false">SUM(Q120:AB120)</f>
        <v>66610.754829793</v>
      </c>
      <c r="E120" s="65" t="n">
        <f aca="false">E10*(MIN(((Assumptions!$D$89*IF(Assumptions!E$206=2027,1+Assumptions!$F$193,1))/12),Assumptions!E$222)*(Assumptions!$C$64+Assumptions!$C$65)+MAX(0,MIN(((Assumptions!$D$89*IF(Assumptions!E$206=2027,1+Assumptions!$F$193,1))/12),8*Assumptions!E$222)-Assumptions!E$222)*(Assumptions!$C$66+Assumptions!$C$67)+IF(((Assumptions!$D$89*IF(Assumptions!E$206=2027,1+Assumptions!$F$193,1))/12)&gt;Assumptions!E$222,MIN(((Assumptions!$D$89*IF(Assumptions!E$206=2027,1+Assumptions!$F$193,1))/12),8*Assumptions!E$222)*Assumptions!$C$68+MIN(((Assumptions!$D$89*IF(Assumptions!E$206=2027,1+Assumptions!$F$193,1))/12),4*Assumptions!E$222)*Assumptions!$C$69,0))</f>
        <v>4551.5195</v>
      </c>
      <c r="F120" s="65" t="n">
        <f aca="false">F10*(MIN(((Assumptions!$D$89*IF(Assumptions!F$206=2027,1+Assumptions!$F$193,1))/12),Assumptions!F$222)*(Assumptions!$C$64+Assumptions!$C$65)+MAX(0,MIN(((Assumptions!$D$89*IF(Assumptions!F$206=2027,1+Assumptions!$F$193,1))/12),8*Assumptions!F$222)-Assumptions!F$222)*(Assumptions!$C$66+Assumptions!$C$67)+IF(((Assumptions!$D$89*IF(Assumptions!F$206=2027,1+Assumptions!$F$193,1))/12)&gt;Assumptions!F$222,MIN(((Assumptions!$D$89*IF(Assumptions!F$206=2027,1+Assumptions!$F$193,1))/12),8*Assumptions!F$222)*Assumptions!$C$68+MIN(((Assumptions!$D$89*IF(Assumptions!F$206=2027,1+Assumptions!$F$193,1))/12),4*Assumptions!F$222)*Assumptions!$C$69,0))</f>
        <v>4551.5195</v>
      </c>
      <c r="G120" s="65" t="n">
        <f aca="false">G10*(MIN(((Assumptions!$D$89*IF(Assumptions!G$206=2027,1+Assumptions!$F$193,1))/12),Assumptions!G$222)*(Assumptions!$C$64+Assumptions!$C$65)+MAX(0,MIN(((Assumptions!$D$89*IF(Assumptions!G$206=2027,1+Assumptions!$F$193,1))/12),8*Assumptions!G$222)-Assumptions!G$222)*(Assumptions!$C$66+Assumptions!$C$67)+IF(((Assumptions!$D$89*IF(Assumptions!G$206=2027,1+Assumptions!$F$193,1))/12)&gt;Assumptions!G$222,MIN(((Assumptions!$D$89*IF(Assumptions!G$206=2027,1+Assumptions!$F$193,1))/12),8*Assumptions!G$222)*Assumptions!$C$68+MIN(((Assumptions!$D$89*IF(Assumptions!G$206=2027,1+Assumptions!$F$193,1))/12),4*Assumptions!G$222)*Assumptions!$C$69,0))</f>
        <v>4551.5195</v>
      </c>
      <c r="H120" s="65" t="n">
        <f aca="false">H10*(MIN(((Assumptions!$D$89*IF(Assumptions!H$206=2027,1+Assumptions!$F$193,1))/12),Assumptions!H$222)*(Assumptions!$C$64+Assumptions!$C$65)+MAX(0,MIN(((Assumptions!$D$89*IF(Assumptions!H$206=2027,1+Assumptions!$F$193,1))/12),8*Assumptions!H$222)-Assumptions!H$222)*(Assumptions!$C$66+Assumptions!$C$67)+IF(((Assumptions!$D$89*IF(Assumptions!H$206=2027,1+Assumptions!$F$193,1))/12)&gt;Assumptions!H$222,MIN(((Assumptions!$D$89*IF(Assumptions!H$206=2027,1+Assumptions!$F$193,1))/12),8*Assumptions!H$222)*Assumptions!$C$68+MIN(((Assumptions!$D$89*IF(Assumptions!H$206=2027,1+Assumptions!$F$193,1))/12),4*Assumptions!H$222)*Assumptions!$C$69,0))</f>
        <v>4965.294</v>
      </c>
      <c r="I120" s="65" t="n">
        <f aca="false">I10*(MIN(((Assumptions!$D$89*IF(Assumptions!I$206=2027,1+Assumptions!$F$193,1))/12),Assumptions!I$222)*(Assumptions!$C$64+Assumptions!$C$65)+MAX(0,MIN(((Assumptions!$D$89*IF(Assumptions!I$206=2027,1+Assumptions!$F$193,1))/12),8*Assumptions!I$222)-Assumptions!I$222)*(Assumptions!$C$66+Assumptions!$C$67)+IF(((Assumptions!$D$89*IF(Assumptions!I$206=2027,1+Assumptions!$F$193,1))/12)&gt;Assumptions!I$222,MIN(((Assumptions!$D$89*IF(Assumptions!I$206=2027,1+Assumptions!$F$193,1))/12),8*Assumptions!I$222)*Assumptions!$C$68+MIN(((Assumptions!$D$89*IF(Assumptions!I$206=2027,1+Assumptions!$F$193,1))/12),4*Assumptions!I$222)*Assumptions!$C$69,0))</f>
        <v>4965.294</v>
      </c>
      <c r="J120" s="65" t="n">
        <f aca="false">J10*(MIN(((Assumptions!$D$89*IF(Assumptions!J$206=2027,1+Assumptions!$F$193,1))/12),Assumptions!J$222)*(Assumptions!$C$64+Assumptions!$C$65)+MAX(0,MIN(((Assumptions!$D$89*IF(Assumptions!J$206=2027,1+Assumptions!$F$193,1))/12),8*Assumptions!J$222)-Assumptions!J$222)*(Assumptions!$C$66+Assumptions!$C$67)+IF(((Assumptions!$D$89*IF(Assumptions!J$206=2027,1+Assumptions!$F$193,1))/12)&gt;Assumptions!J$222,MIN(((Assumptions!$D$89*IF(Assumptions!J$206=2027,1+Assumptions!$F$193,1))/12),8*Assumptions!J$222)*Assumptions!$C$68+MIN(((Assumptions!$D$89*IF(Assumptions!J$206=2027,1+Assumptions!$F$193,1))/12),4*Assumptions!J$222)*Assumptions!$C$69,0))</f>
        <v>4965.294</v>
      </c>
      <c r="K120" s="65" t="n">
        <f aca="false">K10*(MIN(((Assumptions!$D$89*IF(Assumptions!K$206=2027,1+Assumptions!$F$193,1))/12),Assumptions!K$222)*(Assumptions!$C$64+Assumptions!$C$65)+MAX(0,MIN(((Assumptions!$D$89*IF(Assumptions!K$206=2027,1+Assumptions!$F$193,1))/12),8*Assumptions!K$222)-Assumptions!K$222)*(Assumptions!$C$66+Assumptions!$C$67)+IF(((Assumptions!$D$89*IF(Assumptions!K$206=2027,1+Assumptions!$F$193,1))/12)&gt;Assumptions!K$222,MIN(((Assumptions!$D$89*IF(Assumptions!K$206=2027,1+Assumptions!$F$193,1))/12),8*Assumptions!K$222)*Assumptions!$C$68+MIN(((Assumptions!$D$89*IF(Assumptions!K$206=2027,1+Assumptions!$F$193,1))/12),4*Assumptions!K$222)*Assumptions!$C$69,0))</f>
        <v>4965.294</v>
      </c>
      <c r="L120" s="65" t="n">
        <f aca="false">L10*(MIN(((Assumptions!$D$89*IF(Assumptions!L$206=2027,1+Assumptions!$F$193,1))/12),Assumptions!L$222)*(Assumptions!$C$64+Assumptions!$C$65)+MAX(0,MIN(((Assumptions!$D$89*IF(Assumptions!L$206=2027,1+Assumptions!$F$193,1))/12),8*Assumptions!L$222)-Assumptions!L$222)*(Assumptions!$C$66+Assumptions!$C$67)+IF(((Assumptions!$D$89*IF(Assumptions!L$206=2027,1+Assumptions!$F$193,1))/12)&gt;Assumptions!L$222,MIN(((Assumptions!$D$89*IF(Assumptions!L$206=2027,1+Assumptions!$F$193,1))/12),8*Assumptions!L$222)*Assumptions!$C$68+MIN(((Assumptions!$D$89*IF(Assumptions!L$206=2027,1+Assumptions!$F$193,1))/12),4*Assumptions!L$222)*Assumptions!$C$69,0))</f>
        <v>4551.5195</v>
      </c>
      <c r="M120" s="65" t="n">
        <f aca="false">M10*(MIN(((Assumptions!$D$89*IF(Assumptions!M$206=2027,1+Assumptions!$F$193,1))/12),Assumptions!M$222)*(Assumptions!$C$64+Assumptions!$C$65)+MAX(0,MIN(((Assumptions!$D$89*IF(Assumptions!M$206=2027,1+Assumptions!$F$193,1))/12),8*Assumptions!M$222)-Assumptions!M$222)*(Assumptions!$C$66+Assumptions!$C$67)+IF(((Assumptions!$D$89*IF(Assumptions!M$206=2027,1+Assumptions!$F$193,1))/12)&gt;Assumptions!M$222,MIN(((Assumptions!$D$89*IF(Assumptions!M$206=2027,1+Assumptions!$F$193,1))/12),8*Assumptions!M$222)*Assumptions!$C$68+MIN(((Assumptions!$D$89*IF(Assumptions!M$206=2027,1+Assumptions!$F$193,1))/12),4*Assumptions!M$222)*Assumptions!$C$69,0))</f>
        <v>4513.59017083333</v>
      </c>
      <c r="N120" s="65" t="n">
        <f aca="false">N10*(MIN(((Assumptions!$D$89*IF(Assumptions!N$206=2027,1+Assumptions!$F$193,1))/12),Assumptions!N$222)*(Assumptions!$C$64+Assumptions!$C$65)+MAX(0,MIN(((Assumptions!$D$89*IF(Assumptions!N$206=2027,1+Assumptions!$F$193,1))/12),8*Assumptions!N$222)-Assumptions!N$222)*(Assumptions!$C$66+Assumptions!$C$67)+IF(((Assumptions!$D$89*IF(Assumptions!N$206=2027,1+Assumptions!$F$193,1))/12)&gt;Assumptions!N$222,MIN(((Assumptions!$D$89*IF(Assumptions!N$206=2027,1+Assumptions!$F$193,1))/12),8*Assumptions!N$222)*Assumptions!$C$68+MIN(((Assumptions!$D$89*IF(Assumptions!N$206=2027,1+Assumptions!$F$193,1))/12),4*Assumptions!N$222)*Assumptions!$C$69,0))</f>
        <v>4889.75141940972</v>
      </c>
      <c r="O120" s="65" t="n">
        <f aca="false">O10*(MIN(((Assumptions!$D$89*IF(Assumptions!O$206=2027,1+Assumptions!$F$193,1))/12),Assumptions!O$222)*(Assumptions!$C$64+Assumptions!$C$65)+MAX(0,MIN(((Assumptions!$D$89*IF(Assumptions!O$206=2027,1+Assumptions!$F$193,1))/12),8*Assumptions!O$222)-Assumptions!O$222)*(Assumptions!$C$66+Assumptions!$C$67)+IF(((Assumptions!$D$89*IF(Assumptions!O$206=2027,1+Assumptions!$F$193,1))/12)&gt;Assumptions!O$222,MIN(((Assumptions!$D$89*IF(Assumptions!O$206=2027,1+Assumptions!$F$193,1))/12),8*Assumptions!O$222)*Assumptions!$C$68+MIN(((Assumptions!$D$89*IF(Assumptions!O$206=2027,1+Assumptions!$F$193,1))/12),4*Assumptions!O$222)*Assumptions!$C$69,0))</f>
        <v>4886.93282008131</v>
      </c>
      <c r="P120" s="65" t="n">
        <f aca="false">P10*(MIN(((Assumptions!$D$89*IF(Assumptions!P$206=2027,1+Assumptions!$F$193,1))/12),Assumptions!P$222)*(Assumptions!$C$64+Assumptions!$C$65)+MAX(0,MIN(((Assumptions!$D$89*IF(Assumptions!P$206=2027,1+Assumptions!$F$193,1))/12),8*Assumptions!P$222)-Assumptions!P$222)*(Assumptions!$C$66+Assumptions!$C$67)+IF(((Assumptions!$D$89*IF(Assumptions!P$206=2027,1+Assumptions!$F$193,1))/12)&gt;Assumptions!P$222,MIN(((Assumptions!$D$89*IF(Assumptions!P$206=2027,1+Assumptions!$F$193,1))/12),8*Assumptions!P$222)*Assumptions!$C$68+MIN(((Assumptions!$D$89*IF(Assumptions!P$206=2027,1+Assumptions!$F$193,1))/12),4*Assumptions!P$222)*Assumptions!$C$69,0))</f>
        <v>4883.82163133758</v>
      </c>
      <c r="Q120" s="65" t="n">
        <f aca="false">Q10*(MIN(((Assumptions!$D$89*IF(Assumptions!Q$206=2027,1+Assumptions!$F$193,1))/12),Assumptions!Q$222)*(Assumptions!$C$64+Assumptions!$C$65)+MAX(0,MIN(((Assumptions!$D$89*IF(Assumptions!Q$206=2027,1+Assumptions!$F$193,1))/12),8*Assumptions!Q$222)-Assumptions!Q$222)*(Assumptions!$C$66+Assumptions!$C$67)+IF(((Assumptions!$D$89*IF(Assumptions!Q$206=2027,1+Assumptions!$F$193,1))/12)&gt;Assumptions!Q$222,MIN(((Assumptions!$D$89*IF(Assumptions!Q$206=2027,1+Assumptions!$F$193,1))/12),8*Assumptions!Q$222)*Assumptions!$C$68+MIN(((Assumptions!$D$89*IF(Assumptions!Q$206=2027,1+Assumptions!$F$193,1))/12),4*Assumptions!Q$222)*Assumptions!$C$69,0))</f>
        <v>5057.44682442598</v>
      </c>
      <c r="R120" s="65" t="n">
        <f aca="false">R10*(MIN(((Assumptions!$D$89*IF(Assumptions!R$206=2027,1+Assumptions!$F$193,1))/12),Assumptions!R$222)*(Assumptions!$C$64+Assumptions!$C$65)+MAX(0,MIN(((Assumptions!$D$89*IF(Assumptions!R$206=2027,1+Assumptions!$F$193,1))/12),8*Assumptions!R$222)-Assumptions!R$222)*(Assumptions!$C$66+Assumptions!$C$67)+IF(((Assumptions!$D$89*IF(Assumptions!R$206=2027,1+Assumptions!$F$193,1))/12)&gt;Assumptions!R$222,MIN(((Assumptions!$D$89*IF(Assumptions!R$206=2027,1+Assumptions!$F$193,1))/12),8*Assumptions!R$222)*Assumptions!$C$68+MIN(((Assumptions!$D$89*IF(Assumptions!R$206=2027,1+Assumptions!$F$193,1))/12),4*Assumptions!R$222)*Assumptions!$C$69,0))</f>
        <v>5057.47324601904</v>
      </c>
      <c r="S120" s="65" t="n">
        <f aca="false">S10*(MIN(((Assumptions!$D$89*IF(Assumptions!S$206=2027,1+Assumptions!$F$193,1))/12),Assumptions!S$222)*(Assumptions!$C$64+Assumptions!$C$65)+MAX(0,MIN(((Assumptions!$D$89*IF(Assumptions!S$206=2027,1+Assumptions!$F$193,1))/12),8*Assumptions!S$222)-Assumptions!S$222)*(Assumptions!$C$66+Assumptions!$C$67)+IF(((Assumptions!$D$89*IF(Assumptions!S$206=2027,1+Assumptions!$F$193,1))/12)&gt;Assumptions!S$222,MIN(((Assumptions!$D$89*IF(Assumptions!S$206=2027,1+Assumptions!$F$193,1))/12),8*Assumptions!S$222)*Assumptions!$C$68+MIN(((Assumptions!$D$89*IF(Assumptions!S$206=2027,1+Assumptions!$F$193,1))/12),4*Assumptions!S$222)*Assumptions!$C$69,0))</f>
        <v>5485.95289941296</v>
      </c>
      <c r="T120" s="65" t="n">
        <f aca="false">T10*(MIN(((Assumptions!$D$89*IF(Assumptions!T$206=2027,1+Assumptions!$F$193,1))/12),Assumptions!T$222)*(Assumptions!$C$64+Assumptions!$C$65)+MAX(0,MIN(((Assumptions!$D$89*IF(Assumptions!T$206=2027,1+Assumptions!$F$193,1))/12),8*Assumptions!T$222)-Assumptions!T$222)*(Assumptions!$C$66+Assumptions!$C$67)+IF(((Assumptions!$D$89*IF(Assumptions!T$206=2027,1+Assumptions!$F$193,1))/12)&gt;Assumptions!T$222,MIN(((Assumptions!$D$89*IF(Assumptions!T$206=2027,1+Assumptions!$F$193,1))/12),8*Assumptions!T$222)*Assumptions!$C$68+MIN(((Assumptions!$D$89*IF(Assumptions!T$206=2027,1+Assumptions!$F$193,1))/12),4*Assumptions!T$222)*Assumptions!$C$69,0))</f>
        <v>5482.38201545473</v>
      </c>
      <c r="U120" s="65" t="n">
        <f aca="false">U10*(MIN(((Assumptions!$D$89*IF(Assumptions!U$206=2027,1+Assumptions!$F$193,1))/12),Assumptions!U$222)*(Assumptions!$C$64+Assumptions!$C$65)+MAX(0,MIN(((Assumptions!$D$89*IF(Assumptions!U$206=2027,1+Assumptions!$F$193,1))/12),8*Assumptions!U$222)-Assumptions!U$222)*(Assumptions!$C$66+Assumptions!$C$67)+IF(((Assumptions!$D$89*IF(Assumptions!U$206=2027,1+Assumptions!$F$193,1))/12)&gt;Assumptions!U$222,MIN(((Assumptions!$D$89*IF(Assumptions!U$206=2027,1+Assumptions!$F$193,1))/12),8*Assumptions!U$222)*Assumptions!$C$68+MIN(((Assumptions!$D$89*IF(Assumptions!U$206=2027,1+Assumptions!$F$193,1))/12),4*Assumptions!U$222)*Assumptions!$C$69,0))</f>
        <v>5478.84110904277</v>
      </c>
      <c r="V120" s="65" t="n">
        <f aca="false">V10*(MIN(((Assumptions!$D$89*IF(Assumptions!V$206=2027,1+Assumptions!$F$193,1))/12),Assumptions!V$222)*(Assumptions!$C$64+Assumptions!$C$65)+MAX(0,MIN(((Assumptions!$D$89*IF(Assumptions!V$206=2027,1+Assumptions!$F$193,1))/12),8*Assumptions!V$222)-Assumptions!V$222)*(Assumptions!$C$66+Assumptions!$C$67)+IF(((Assumptions!$D$89*IF(Assumptions!V$206=2027,1+Assumptions!$F$193,1))/12)&gt;Assumptions!V$222,MIN(((Assumptions!$D$89*IF(Assumptions!V$206=2027,1+Assumptions!$F$193,1))/12),8*Assumptions!V$222)*Assumptions!$C$68+MIN(((Assumptions!$D$89*IF(Assumptions!V$206=2027,1+Assumptions!$F$193,1))/12),4*Assumptions!V$222)*Assumptions!$C$69,0))</f>
        <v>5478.90037396252</v>
      </c>
      <c r="W120" s="65" t="n">
        <f aca="false">W10*(MIN(((Assumptions!$D$89*IF(Assumptions!W$206=2027,1+Assumptions!$F$193,1))/12),Assumptions!W$222)*(Assumptions!$C$64+Assumptions!$C$65)+MAX(0,MIN(((Assumptions!$D$89*IF(Assumptions!W$206=2027,1+Assumptions!$F$193,1))/12),8*Assumptions!W$222)-Assumptions!W$222)*(Assumptions!$C$66+Assumptions!$C$67)+IF(((Assumptions!$D$89*IF(Assumptions!W$206=2027,1+Assumptions!$F$193,1))/12)&gt;Assumptions!W$222,MIN(((Assumptions!$D$89*IF(Assumptions!W$206=2027,1+Assumptions!$F$193,1))/12),8*Assumptions!W$222)*Assumptions!$C$68+MIN(((Assumptions!$D$89*IF(Assumptions!W$206=2027,1+Assumptions!$F$193,1))/12),4*Assumptions!W$222)*Assumptions!$C$69,0))</f>
        <v>5478.92938764162</v>
      </c>
      <c r="X120" s="65" t="n">
        <f aca="false">X10*(MIN(((Assumptions!$D$89*IF(Assumptions!X$206=2027,1+Assumptions!$F$193,1))/12),Assumptions!X$222)*(Assumptions!$C$64+Assumptions!$C$65)+MAX(0,MIN(((Assumptions!$D$89*IF(Assumptions!X$206=2027,1+Assumptions!$F$193,1))/12),8*Assumptions!X$222)-Assumptions!X$222)*(Assumptions!$C$66+Assumptions!$C$67)+IF(((Assumptions!$D$89*IF(Assumptions!X$206=2027,1+Assumptions!$F$193,1))/12)&gt;Assumptions!X$222,MIN(((Assumptions!$D$89*IF(Assumptions!X$206=2027,1+Assumptions!$F$193,1))/12),8*Assumptions!X$222)*Assumptions!$C$68+MIN(((Assumptions!$D$89*IF(Assumptions!X$206=2027,1+Assumptions!$F$193,1))/12),4*Assumptions!X$222)*Assumptions!$C$69,0))</f>
        <v>5478.92865198663</v>
      </c>
      <c r="Y120" s="65" t="n">
        <f aca="false">Y10*(MIN(((Assumptions!$D$89*IF(Assumptions!Y$206=2027,1+Assumptions!$F$193,1))/12),Assumptions!Y$222)*(Assumptions!$C$64+Assumptions!$C$65)+MAX(0,MIN(((Assumptions!$D$89*IF(Assumptions!Y$206=2027,1+Assumptions!$F$193,1))/12),8*Assumptions!Y$222)-Assumptions!Y$222)*(Assumptions!$C$66+Assumptions!$C$67)+IF(((Assumptions!$D$89*IF(Assumptions!Y$206=2027,1+Assumptions!$F$193,1))/12)&gt;Assumptions!Y$222,MIN(((Assumptions!$D$89*IF(Assumptions!Y$206=2027,1+Assumptions!$F$193,1))/12),8*Assumptions!Y$222)*Assumptions!$C$68+MIN(((Assumptions!$D$89*IF(Assumptions!Y$206=2027,1+Assumptions!$F$193,1))/12),4*Assumptions!Y$222)*Assumptions!$C$69,0))</f>
        <v>5907.40871633643</v>
      </c>
      <c r="Z120" s="65" t="n">
        <f aca="false">Z10*(MIN(((Assumptions!$D$89*IF(Assumptions!Z$206=2027,1+Assumptions!$F$193,1))/12),Assumptions!Z$222)*(Assumptions!$C$64+Assumptions!$C$65)+MAX(0,MIN(((Assumptions!$D$89*IF(Assumptions!Z$206=2027,1+Assumptions!$F$193,1))/12),8*Assumptions!Z$222)-Assumptions!Z$222)*(Assumptions!$C$66+Assumptions!$C$67)+IF(((Assumptions!$D$89*IF(Assumptions!Z$206=2027,1+Assumptions!$F$193,1))/12)&gt;Assumptions!Z$222,MIN(((Assumptions!$D$89*IF(Assumptions!Z$206=2027,1+Assumptions!$F$193,1))/12),8*Assumptions!Z$222)*Assumptions!$C$68+MIN(((Assumptions!$D$89*IF(Assumptions!Z$206=2027,1+Assumptions!$F$193,1))/12),4*Assumptions!Z$222)*Assumptions!$C$69,0))</f>
        <v>5903.83805526398</v>
      </c>
      <c r="AA120" s="65" t="n">
        <f aca="false">AA10*(MIN(((Assumptions!$D$89*IF(Assumptions!AA$206=2027,1+Assumptions!$F$193,1))/12),Assumptions!AA$222)*(Assumptions!$C$64+Assumptions!$C$65)+MAX(0,MIN(((Assumptions!$D$89*IF(Assumptions!AA$206=2027,1+Assumptions!$F$193,1))/12),8*Assumptions!AA$222)-Assumptions!AA$222)*(Assumptions!$C$66+Assumptions!$C$67)+IF(((Assumptions!$D$89*IF(Assumptions!AA$206=2027,1+Assumptions!$F$193,1))/12)&gt;Assumptions!AA$222,MIN(((Assumptions!$D$89*IF(Assumptions!AA$206=2027,1+Assumptions!$F$193,1))/12),8*Assumptions!AA$222)*Assumptions!$C$68+MIN(((Assumptions!$D$89*IF(Assumptions!AA$206=2027,1+Assumptions!$F$193,1))/12),4*Assumptions!AA$222)*Assumptions!$C$69,0))</f>
        <v>5900.29714357</v>
      </c>
      <c r="AB120" s="65" t="n">
        <f aca="false">AB10*(MIN(((Assumptions!$D$89*IF(Assumptions!AB$206=2027,1+Assumptions!$F$193,1))/12),Assumptions!AB$222)*(Assumptions!$C$64+Assumptions!$C$65)+MAX(0,MIN(((Assumptions!$D$89*IF(Assumptions!AB$206=2027,1+Assumptions!$F$193,1))/12),8*Assumptions!AB$222)-Assumptions!AB$222)*(Assumptions!$C$66+Assumptions!$C$67)+IF(((Assumptions!$D$89*IF(Assumptions!AB$206=2027,1+Assumptions!$F$193,1))/12)&gt;Assumptions!AB$222,MIN(((Assumptions!$D$89*IF(Assumptions!AB$206=2027,1+Assumptions!$F$193,1))/12),8*Assumptions!AB$222)*Assumptions!$C$68+MIN(((Assumptions!$D$89*IF(Assumptions!AB$206=2027,1+Assumptions!$F$193,1))/12),4*Assumptions!AB$222)*Assumptions!$C$69,0))</f>
        <v>5900.35640667638</v>
      </c>
    </row>
    <row r="121" customFormat="false" ht="15" hidden="false" customHeight="false" outlineLevel="0" collapsed="false">
      <c r="A121" s="28" t="s">
        <v>1207</v>
      </c>
      <c r="B121" s="62"/>
      <c r="C121" s="64" t="n">
        <f aca="false">SUM(E121:P121)</f>
        <v>57118.9812207086</v>
      </c>
      <c r="D121" s="64" t="n">
        <f aca="false">SUM(Q121:AB121)</f>
        <v>70611.1752029878</v>
      </c>
      <c r="E121" s="65" t="n">
        <f aca="false">E11*(MIN(((Assumptions!$D$90*IF(Assumptions!E$206=2027,1+Assumptions!$F$193,1))/12),Assumptions!E$222)*(Assumptions!$C$64+Assumptions!$C$65)+MAX(0,MIN(((Assumptions!$D$90*IF(Assumptions!E$206=2027,1+Assumptions!$F$193,1))/12),8*Assumptions!E$222)-Assumptions!E$222)*(Assumptions!$C$66+Assumptions!$C$67)+IF(((Assumptions!$D$90*IF(Assumptions!E$206=2027,1+Assumptions!$F$193,1))/12)&gt;Assumptions!E$222,MIN(((Assumptions!$D$90*IF(Assumptions!E$206=2027,1+Assumptions!$F$193,1))/12),8*Assumptions!E$222)*Assumptions!$C$68+MIN(((Assumptions!$D$90*IF(Assumptions!E$206=2027,1+Assumptions!$F$193,1))/12),4*Assumptions!E$222)*Assumptions!$C$69,0))</f>
        <v>4522.45516666667</v>
      </c>
      <c r="F121" s="65" t="n">
        <f aca="false">F11*(MIN(((Assumptions!$D$90*IF(Assumptions!F$206=2027,1+Assumptions!$F$193,1))/12),Assumptions!F$222)*(Assumptions!$C$64+Assumptions!$C$65)+MAX(0,MIN(((Assumptions!$D$90*IF(Assumptions!F$206=2027,1+Assumptions!$F$193,1))/12),8*Assumptions!F$222)-Assumptions!F$222)*(Assumptions!$C$66+Assumptions!$C$67)+IF(((Assumptions!$D$90*IF(Assumptions!F$206=2027,1+Assumptions!$F$193,1))/12)&gt;Assumptions!F$222,MIN(((Assumptions!$D$90*IF(Assumptions!F$206=2027,1+Assumptions!$F$193,1))/12),8*Assumptions!F$222)*Assumptions!$C$68+MIN(((Assumptions!$D$90*IF(Assumptions!F$206=2027,1+Assumptions!$F$193,1))/12),4*Assumptions!F$222)*Assumptions!$C$69,0))</f>
        <v>4522.45516666667</v>
      </c>
      <c r="G121" s="65" t="n">
        <f aca="false">G11*(MIN(((Assumptions!$D$90*IF(Assumptions!G$206=2027,1+Assumptions!$F$193,1))/12),Assumptions!G$222)*(Assumptions!$C$64+Assumptions!$C$65)+MAX(0,MIN(((Assumptions!$D$90*IF(Assumptions!G$206=2027,1+Assumptions!$F$193,1))/12),8*Assumptions!G$222)-Assumptions!G$222)*(Assumptions!$C$66+Assumptions!$C$67)+IF(((Assumptions!$D$90*IF(Assumptions!G$206=2027,1+Assumptions!$F$193,1))/12)&gt;Assumptions!G$222,MIN(((Assumptions!$D$90*IF(Assumptions!G$206=2027,1+Assumptions!$F$193,1))/12),8*Assumptions!G$222)*Assumptions!$C$68+MIN(((Assumptions!$D$90*IF(Assumptions!G$206=2027,1+Assumptions!$F$193,1))/12),4*Assumptions!G$222)*Assumptions!$C$69,0))</f>
        <v>4870.33633333333</v>
      </c>
      <c r="H121" s="65" t="n">
        <f aca="false">H11*(MIN(((Assumptions!$D$90*IF(Assumptions!H$206=2027,1+Assumptions!$F$193,1))/12),Assumptions!H$222)*(Assumptions!$C$64+Assumptions!$C$65)+MAX(0,MIN(((Assumptions!$D$90*IF(Assumptions!H$206=2027,1+Assumptions!$F$193,1))/12),8*Assumptions!H$222)-Assumptions!H$222)*(Assumptions!$C$66+Assumptions!$C$67)+IF(((Assumptions!$D$90*IF(Assumptions!H$206=2027,1+Assumptions!$F$193,1))/12)&gt;Assumptions!H$222,MIN(((Assumptions!$D$90*IF(Assumptions!H$206=2027,1+Assumptions!$F$193,1))/12),8*Assumptions!H$222)*Assumptions!$C$68+MIN(((Assumptions!$D$90*IF(Assumptions!H$206=2027,1+Assumptions!$F$193,1))/12),4*Assumptions!H$222)*Assumptions!$C$69,0))</f>
        <v>4870.33633333333</v>
      </c>
      <c r="I121" s="65" t="n">
        <f aca="false">I11*(MIN(((Assumptions!$D$90*IF(Assumptions!I$206=2027,1+Assumptions!$F$193,1))/12),Assumptions!I$222)*(Assumptions!$C$64+Assumptions!$C$65)+MAX(0,MIN(((Assumptions!$D$90*IF(Assumptions!I$206=2027,1+Assumptions!$F$193,1))/12),8*Assumptions!I$222)-Assumptions!I$222)*(Assumptions!$C$66+Assumptions!$C$67)+IF(((Assumptions!$D$90*IF(Assumptions!I$206=2027,1+Assumptions!$F$193,1))/12)&gt;Assumptions!I$222,MIN(((Assumptions!$D$90*IF(Assumptions!I$206=2027,1+Assumptions!$F$193,1))/12),8*Assumptions!I$222)*Assumptions!$C$68+MIN(((Assumptions!$D$90*IF(Assumptions!I$206=2027,1+Assumptions!$F$193,1))/12),4*Assumptions!I$222)*Assumptions!$C$69,0))</f>
        <v>4522.45516666667</v>
      </c>
      <c r="J121" s="65" t="n">
        <f aca="false">J11*(MIN(((Assumptions!$D$90*IF(Assumptions!J$206=2027,1+Assumptions!$F$193,1))/12),Assumptions!J$222)*(Assumptions!$C$64+Assumptions!$C$65)+MAX(0,MIN(((Assumptions!$D$90*IF(Assumptions!J$206=2027,1+Assumptions!$F$193,1))/12),8*Assumptions!J$222)-Assumptions!J$222)*(Assumptions!$C$66+Assumptions!$C$67)+IF(((Assumptions!$D$90*IF(Assumptions!J$206=2027,1+Assumptions!$F$193,1))/12)&gt;Assumptions!J$222,MIN(((Assumptions!$D$90*IF(Assumptions!J$206=2027,1+Assumptions!$F$193,1))/12),8*Assumptions!J$222)*Assumptions!$C$68+MIN(((Assumptions!$D$90*IF(Assumptions!J$206=2027,1+Assumptions!$F$193,1))/12),4*Assumptions!J$222)*Assumptions!$C$69,0))</f>
        <v>4870.33633333333</v>
      </c>
      <c r="K121" s="65" t="n">
        <f aca="false">K11*(MIN(((Assumptions!$D$90*IF(Assumptions!K$206=2027,1+Assumptions!$F$193,1))/12),Assumptions!K$222)*(Assumptions!$C$64+Assumptions!$C$65)+MAX(0,MIN(((Assumptions!$D$90*IF(Assumptions!K$206=2027,1+Assumptions!$F$193,1))/12),8*Assumptions!K$222)-Assumptions!K$222)*(Assumptions!$C$66+Assumptions!$C$67)+IF(((Assumptions!$D$90*IF(Assumptions!K$206=2027,1+Assumptions!$F$193,1))/12)&gt;Assumptions!K$222,MIN(((Assumptions!$D$90*IF(Assumptions!K$206=2027,1+Assumptions!$F$193,1))/12),8*Assumptions!K$222)*Assumptions!$C$68+MIN(((Assumptions!$D$90*IF(Assumptions!K$206=2027,1+Assumptions!$F$193,1))/12),4*Assumptions!K$222)*Assumptions!$C$69,0))</f>
        <v>4870.33633333333</v>
      </c>
      <c r="L121" s="65" t="n">
        <f aca="false">L11*(MIN(((Assumptions!$D$90*IF(Assumptions!L$206=2027,1+Assumptions!$F$193,1))/12),Assumptions!L$222)*(Assumptions!$C$64+Assumptions!$C$65)+MAX(0,MIN(((Assumptions!$D$90*IF(Assumptions!L$206=2027,1+Assumptions!$F$193,1))/12),8*Assumptions!L$222)-Assumptions!L$222)*(Assumptions!$C$66+Assumptions!$C$67)+IF(((Assumptions!$D$90*IF(Assumptions!L$206=2027,1+Assumptions!$F$193,1))/12)&gt;Assumptions!L$222,MIN(((Assumptions!$D$90*IF(Assumptions!L$206=2027,1+Assumptions!$F$193,1))/12),8*Assumptions!L$222)*Assumptions!$C$68+MIN(((Assumptions!$D$90*IF(Assumptions!L$206=2027,1+Assumptions!$F$193,1))/12),4*Assumptions!L$222)*Assumptions!$C$69,0))</f>
        <v>4870.33633333333</v>
      </c>
      <c r="M121" s="65" t="n">
        <f aca="false">M11*(MIN(((Assumptions!$D$90*IF(Assumptions!M$206=2027,1+Assumptions!$F$193,1))/12),Assumptions!M$222)*(Assumptions!$C$64+Assumptions!$C$65)+MAX(0,MIN(((Assumptions!$D$90*IF(Assumptions!M$206=2027,1+Assumptions!$F$193,1))/12),8*Assumptions!M$222)-Assumptions!M$222)*(Assumptions!$C$66+Assumptions!$C$67)+IF(((Assumptions!$D$90*IF(Assumptions!M$206=2027,1+Assumptions!$F$193,1))/12)&gt;Assumptions!M$222,MIN(((Assumptions!$D$90*IF(Assumptions!M$206=2027,1+Assumptions!$F$193,1))/12),8*Assumptions!M$222)*Assumptions!$C$68+MIN(((Assumptions!$D$90*IF(Assumptions!M$206=2027,1+Assumptions!$F$193,1))/12),4*Assumptions!M$222)*Assumptions!$C$69,0))</f>
        <v>4829.75019722222</v>
      </c>
      <c r="N121" s="65" t="n">
        <f aca="false">N11*(MIN(((Assumptions!$D$90*IF(Assumptions!N$206=2027,1+Assumptions!$F$193,1))/12),Assumptions!N$222)*(Assumptions!$C$64+Assumptions!$C$65)+MAX(0,MIN(((Assumptions!$D$90*IF(Assumptions!N$206=2027,1+Assumptions!$F$193,1))/12),8*Assumptions!N$222)-Assumptions!N$222)*(Assumptions!$C$66+Assumptions!$C$67)+IF(((Assumptions!$D$90*IF(Assumptions!N$206=2027,1+Assumptions!$F$193,1))/12)&gt;Assumptions!N$222,MIN(((Assumptions!$D$90*IF(Assumptions!N$206=2027,1+Assumptions!$F$193,1))/12),8*Assumptions!N$222)*Assumptions!$C$68+MIN(((Assumptions!$D$90*IF(Assumptions!N$206=2027,1+Assumptions!$F$193,1))/12),4*Assumptions!N$222)*Assumptions!$C$69,0))</f>
        <v>4789.50227891204</v>
      </c>
      <c r="O121" s="65" t="n">
        <f aca="false">O11*(MIN(((Assumptions!$D$90*IF(Assumptions!O$206=2027,1+Assumptions!$F$193,1))/12),Assumptions!O$222)*(Assumptions!$C$64+Assumptions!$C$65)+MAX(0,MIN(((Assumptions!$D$90*IF(Assumptions!O$206=2027,1+Assumptions!$F$193,1))/12),8*Assumptions!O$222)-Assumptions!O$222)*(Assumptions!$C$66+Assumptions!$C$67)+IF(((Assumptions!$D$90*IF(Assumptions!O$206=2027,1+Assumptions!$F$193,1))/12)&gt;Assumptions!O$222,MIN(((Assumptions!$D$90*IF(Assumptions!O$206=2027,1+Assumptions!$F$193,1))/12),8*Assumptions!O$222)*Assumptions!$C$68+MIN(((Assumptions!$D$90*IF(Assumptions!O$206=2027,1+Assumptions!$F$193,1))/12),4*Assumptions!O$222)*Assumptions!$C$69,0))</f>
        <v>4790.17589603221</v>
      </c>
      <c r="P121" s="65" t="n">
        <f aca="false">P11*(MIN(((Assumptions!$D$90*IF(Assumptions!P$206=2027,1+Assumptions!$F$193,1))/12),Assumptions!P$222)*(Assumptions!$C$64+Assumptions!$C$65)+MAX(0,MIN(((Assumptions!$D$90*IF(Assumptions!P$206=2027,1+Assumptions!$F$193,1))/12),8*Assumptions!P$222)-Assumptions!P$222)*(Assumptions!$C$66+Assumptions!$C$67)+IF(((Assumptions!$D$90*IF(Assumptions!P$206=2027,1+Assumptions!$F$193,1))/12)&gt;Assumptions!P$222,MIN(((Assumptions!$D$90*IF(Assumptions!P$206=2027,1+Assumptions!$F$193,1))/12),8*Assumptions!P$222)*Assumptions!$C$68+MIN(((Assumptions!$D$90*IF(Assumptions!P$206=2027,1+Assumptions!$F$193,1))/12),4*Assumptions!P$222)*Assumptions!$C$69,0))</f>
        <v>4790.50568187546</v>
      </c>
      <c r="Q121" s="65" t="n">
        <f aca="false">Q11*(MIN(((Assumptions!$D$90*IF(Assumptions!Q$206=2027,1+Assumptions!$F$193,1))/12),Assumptions!Q$222)*(Assumptions!$C$64+Assumptions!$C$65)+MAX(0,MIN(((Assumptions!$D$90*IF(Assumptions!Q$206=2027,1+Assumptions!$F$193,1))/12),8*Assumptions!Q$222)-Assumptions!Q$222)*(Assumptions!$C$66+Assumptions!$C$67)+IF(((Assumptions!$D$90*IF(Assumptions!Q$206=2027,1+Assumptions!$F$193,1))/12)&gt;Assumptions!Q$222,MIN(((Assumptions!$D$90*IF(Assumptions!Q$206=2027,1+Assumptions!$F$193,1))/12),8*Assumptions!Q$222)*Assumptions!$C$68+MIN(((Assumptions!$D$90*IF(Assumptions!Q$206=2027,1+Assumptions!$F$193,1))/12),4*Assumptions!Q$222)*Assumptions!$C$69,0))</f>
        <v>5687.00233757465</v>
      </c>
      <c r="R121" s="65" t="n">
        <f aca="false">R11*(MIN(((Assumptions!$D$90*IF(Assumptions!R$206=2027,1+Assumptions!$F$193,1))/12),Assumptions!R$222)*(Assumptions!$C$64+Assumptions!$C$65)+MAX(0,MIN(((Assumptions!$D$90*IF(Assumptions!R$206=2027,1+Assumptions!$F$193,1))/12),8*Assumptions!R$222)-Assumptions!R$222)*(Assumptions!$C$66+Assumptions!$C$67)+IF(((Assumptions!$D$90*IF(Assumptions!R$206=2027,1+Assumptions!$F$193,1))/12)&gt;Assumptions!R$222,MIN(((Assumptions!$D$90*IF(Assumptions!R$206=2027,1+Assumptions!$F$193,1))/12),8*Assumptions!R$222)*Assumptions!$C$68+MIN(((Assumptions!$D$90*IF(Assumptions!R$206=2027,1+Assumptions!$F$193,1))/12),4*Assumptions!R$222)*Assumptions!$C$69,0))</f>
        <v>5680.98939158781</v>
      </c>
      <c r="S121" s="65" t="n">
        <f aca="false">S11*(MIN(((Assumptions!$D$90*IF(Assumptions!S$206=2027,1+Assumptions!$F$193,1))/12),Assumptions!S$222)*(Assumptions!$C$64+Assumptions!$C$65)+MAX(0,MIN(((Assumptions!$D$90*IF(Assumptions!S$206=2027,1+Assumptions!$F$193,1))/12),8*Assumptions!S$222)-Assumptions!S$222)*(Assumptions!$C$66+Assumptions!$C$67)+IF(((Assumptions!$D$90*IF(Assumptions!S$206=2027,1+Assumptions!$F$193,1))/12)&gt;Assumptions!S$222,MIN(((Assumptions!$D$90*IF(Assumptions!S$206=2027,1+Assumptions!$F$193,1))/12),8*Assumptions!S$222)*Assumptions!$C$68+MIN(((Assumptions!$D$90*IF(Assumptions!S$206=2027,1+Assumptions!$F$193,1))/12),4*Assumptions!S$222)*Assumptions!$C$69,0))</f>
        <v>5675.02940225698</v>
      </c>
      <c r="T121" s="65" t="n">
        <f aca="false">T11*(MIN(((Assumptions!$D$90*IF(Assumptions!T$206=2027,1+Assumptions!$F$193,1))/12),Assumptions!T$222)*(Assumptions!$C$64+Assumptions!$C$65)+MAX(0,MIN(((Assumptions!$D$90*IF(Assumptions!T$206=2027,1+Assumptions!$F$193,1))/12),8*Assumptions!T$222)-Assumptions!T$222)*(Assumptions!$C$66+Assumptions!$C$67)+IF(((Assumptions!$D$90*IF(Assumptions!T$206=2027,1+Assumptions!$F$193,1))/12)&gt;Assumptions!T$222,MIN(((Assumptions!$D$90*IF(Assumptions!T$206=2027,1+Assumptions!$F$193,1))/12),8*Assumptions!T$222)*Assumptions!$C$68+MIN(((Assumptions!$D$90*IF(Assumptions!T$206=2027,1+Assumptions!$F$193,1))/12),4*Assumptions!T$222)*Assumptions!$C$69,0))</f>
        <v>5675.12917671796</v>
      </c>
      <c r="U121" s="65" t="n">
        <f aca="false">U11*(MIN(((Assumptions!$D$90*IF(Assumptions!U$206=2027,1+Assumptions!$F$193,1))/12),Assumptions!U$222)*(Assumptions!$C$64+Assumptions!$C$65)+MAX(0,MIN(((Assumptions!$D$90*IF(Assumptions!U$206=2027,1+Assumptions!$F$193,1))/12),8*Assumptions!U$222)-Assumptions!U$222)*(Assumptions!$C$66+Assumptions!$C$67)+IF(((Assumptions!$D$90*IF(Assumptions!U$206=2027,1+Assumptions!$F$193,1))/12)&gt;Assumptions!U$222,MIN(((Assumptions!$D$90*IF(Assumptions!U$206=2027,1+Assumptions!$F$193,1))/12),8*Assumptions!U$222)*Assumptions!$C$68+MIN(((Assumptions!$D$90*IF(Assumptions!U$206=2027,1+Assumptions!$F$193,1))/12),4*Assumptions!U$222)*Assumptions!$C$69,0))</f>
        <v>5675.17801184188</v>
      </c>
      <c r="V121" s="65" t="n">
        <f aca="false">V11*(MIN(((Assumptions!$D$90*IF(Assumptions!V$206=2027,1+Assumptions!$F$193,1))/12),Assumptions!V$222)*(Assumptions!$C$64+Assumptions!$C$65)+MAX(0,MIN(((Assumptions!$D$90*IF(Assumptions!V$206=2027,1+Assumptions!$F$193,1))/12),8*Assumptions!V$222)-Assumptions!V$222)*(Assumptions!$C$66+Assumptions!$C$67)+IF(((Assumptions!$D$90*IF(Assumptions!V$206=2027,1+Assumptions!$F$193,1))/12)&gt;Assumptions!V$222,MIN(((Assumptions!$D$90*IF(Assumptions!V$206=2027,1+Assumptions!$F$193,1))/12),8*Assumptions!V$222)*Assumptions!$C$68+MIN(((Assumptions!$D$90*IF(Assumptions!V$206=2027,1+Assumptions!$F$193,1))/12),4*Assumptions!V$222)*Assumptions!$C$69,0))</f>
        <v>6035.78694009534</v>
      </c>
      <c r="W121" s="65" t="n">
        <f aca="false">W11*(MIN(((Assumptions!$D$90*IF(Assumptions!W$206=2027,1+Assumptions!$F$193,1))/12),Assumptions!W$222)*(Assumptions!$C$64+Assumptions!$C$65)+MAX(0,MIN(((Assumptions!$D$90*IF(Assumptions!W$206=2027,1+Assumptions!$F$193,1))/12),8*Assumptions!W$222)-Assumptions!W$222)*(Assumptions!$C$66+Assumptions!$C$67)+IF(((Assumptions!$D$90*IF(Assumptions!W$206=2027,1+Assumptions!$F$193,1))/12)&gt;Assumptions!W$222,MIN(((Assumptions!$D$90*IF(Assumptions!W$206=2027,1+Assumptions!$F$193,1))/12),8*Assumptions!W$222)*Assumptions!$C$68+MIN(((Assumptions!$D$90*IF(Assumptions!W$206=2027,1+Assumptions!$F$193,1))/12),4*Assumptions!W$222)*Assumptions!$C$69,0))</f>
        <v>6032.78145873386</v>
      </c>
      <c r="X121" s="65" t="n">
        <f aca="false">X11*(MIN(((Assumptions!$D$90*IF(Assumptions!X$206=2027,1+Assumptions!$F$193,1))/12),Assumptions!X$222)*(Assumptions!$C$64+Assumptions!$C$65)+MAX(0,MIN(((Assumptions!$D$90*IF(Assumptions!X$206=2027,1+Assumptions!$F$193,1))/12),8*Assumptions!X$222)-Assumptions!X$222)*(Assumptions!$C$66+Assumptions!$C$67)+IF(((Assumptions!$D$90*IF(Assumptions!X$206=2027,1+Assumptions!$F$193,1))/12)&gt;Assumptions!X$222,MIN(((Assumptions!$D$90*IF(Assumptions!X$206=2027,1+Assumptions!$F$193,1))/12),8*Assumptions!X$222)*Assumptions!$C$68+MIN(((Assumptions!$D$90*IF(Assumptions!X$206=2027,1+Assumptions!$F$193,1))/12),4*Assumptions!X$222)*Assumptions!$C$69,0))</f>
        <v>6029.80143000976</v>
      </c>
      <c r="Y121" s="65" t="n">
        <f aca="false">Y11*(MIN(((Assumptions!$D$90*IF(Assumptions!Y$206=2027,1+Assumptions!$F$193,1))/12),Assumptions!Y$222)*(Assumptions!$C$64+Assumptions!$C$65)+MAX(0,MIN(((Assumptions!$D$90*IF(Assumptions!Y$206=2027,1+Assumptions!$F$193,1))/12),8*Assumptions!Y$222)-Assumptions!Y$222)*(Assumptions!$C$66+Assumptions!$C$67)+IF(((Assumptions!$D$90*IF(Assumptions!Y$206=2027,1+Assumptions!$F$193,1))/12)&gt;Assumptions!Y$222,MIN(((Assumptions!$D$90*IF(Assumptions!Y$206=2027,1+Assumptions!$F$193,1))/12),8*Assumptions!Y$222)*Assumptions!$C$68+MIN(((Assumptions!$D$90*IF(Assumptions!Y$206=2027,1+Assumptions!$F$193,1))/12),4*Assumptions!Y$222)*Assumptions!$C$69,0))</f>
        <v>6029.85130926047</v>
      </c>
      <c r="Z121" s="65" t="n">
        <f aca="false">Z11*(MIN(((Assumptions!$D$90*IF(Assumptions!Z$206=2027,1+Assumptions!$F$193,1))/12),Assumptions!Z$222)*(Assumptions!$C$64+Assumptions!$C$65)+MAX(0,MIN(((Assumptions!$D$90*IF(Assumptions!Z$206=2027,1+Assumptions!$F$193,1))/12),8*Assumptions!Z$222)-Assumptions!Z$222)*(Assumptions!$C$66+Assumptions!$C$67)+IF(((Assumptions!$D$90*IF(Assumptions!Z$206=2027,1+Assumptions!$F$193,1))/12)&gt;Assumptions!Z$222,MIN(((Assumptions!$D$90*IF(Assumptions!Z$206=2027,1+Assumptions!$F$193,1))/12),8*Assumptions!Z$222)*Assumptions!$C$68+MIN(((Assumptions!$D$90*IF(Assumptions!Z$206=2027,1+Assumptions!$F$193,1))/12),4*Assumptions!Z$222)*Assumptions!$C$69,0))</f>
        <v>6029.87572717275</v>
      </c>
      <c r="AA121" s="65" t="n">
        <f aca="false">AA11*(MIN(((Assumptions!$D$90*IF(Assumptions!AA$206=2027,1+Assumptions!$F$193,1))/12),Assumptions!AA$222)*(Assumptions!$C$64+Assumptions!$C$65)+MAX(0,MIN(((Assumptions!$D$90*IF(Assumptions!AA$206=2027,1+Assumptions!$F$193,1))/12),8*Assumptions!AA$222)-Assumptions!AA$222)*(Assumptions!$C$66+Assumptions!$C$67)+IF(((Assumptions!$D$90*IF(Assumptions!AA$206=2027,1+Assumptions!$F$193,1))/12)&gt;Assumptions!AA$222,MIN(((Assumptions!$D$90*IF(Assumptions!AA$206=2027,1+Assumptions!$F$193,1))/12),8*Assumptions!AA$222)*Assumptions!$C$68+MIN(((Assumptions!$D$90*IF(Assumptions!AA$206=2027,1+Assumptions!$F$193,1))/12),4*Assumptions!AA$222)*Assumptions!$C$69,0))</f>
        <v>6029.87510802972</v>
      </c>
      <c r="AB121" s="65" t="n">
        <f aca="false">AB11*(MIN(((Assumptions!$D$90*IF(Assumptions!AB$206=2027,1+Assumptions!$F$193,1))/12),Assumptions!AB$222)*(Assumptions!$C$64+Assumptions!$C$65)+MAX(0,MIN(((Assumptions!$D$90*IF(Assumptions!AB$206=2027,1+Assumptions!$F$193,1))/12),8*Assumptions!AB$222)-Assumptions!AB$222)*(Assumptions!$C$66+Assumptions!$C$67)+IF(((Assumptions!$D$90*IF(Assumptions!AB$206=2027,1+Assumptions!$F$193,1))/12)&gt;Assumptions!AB$222,MIN(((Assumptions!$D$90*IF(Assumptions!AB$206=2027,1+Assumptions!$F$193,1))/12),8*Assumptions!AB$222)*Assumptions!$C$68+MIN(((Assumptions!$D$90*IF(Assumptions!AB$206=2027,1+Assumptions!$F$193,1))/12),4*Assumptions!AB$222)*Assumptions!$C$69,0))</f>
        <v>6029.87490970665</v>
      </c>
    </row>
    <row r="122" customFormat="false" ht="15" hidden="false" customHeight="false" outlineLevel="0" collapsed="false">
      <c r="A122" s="28" t="s">
        <v>1208</v>
      </c>
      <c r="B122" s="62"/>
      <c r="C122" s="64" t="n">
        <f aca="false">SUM(E122:P122)</f>
        <v>28693.4927682378</v>
      </c>
      <c r="D122" s="64" t="n">
        <f aca="false">SUM(Q122:AB122)</f>
        <v>29291.6314043929</v>
      </c>
      <c r="E122" s="65" t="n">
        <f aca="false">E12*(MIN(((Assumptions!$D$91*IF(Assumptions!E$206=2027,1+Assumptions!$F$193,1))/12),Assumptions!E$222)*(Assumptions!$C$64+Assumptions!$C$65)+MAX(0,MIN(((Assumptions!$D$91*IF(Assumptions!E$206=2027,1+Assumptions!$F$193,1))/12),8*Assumptions!E$222)-Assumptions!E$222)*(Assumptions!$C$66+Assumptions!$C$67)+IF(((Assumptions!$D$91*IF(Assumptions!E$206=2027,1+Assumptions!$F$193,1))/12)&gt;Assumptions!E$222,MIN(((Assumptions!$D$91*IF(Assumptions!E$206=2027,1+Assumptions!$F$193,1))/12),8*Assumptions!E$222)*Assumptions!$C$68+MIN(((Assumptions!$D$91*IF(Assumptions!E$206=2027,1+Assumptions!$F$193,1))/12),4*Assumptions!E$222)*Assumptions!$C$69,0))</f>
        <v>2402.6935</v>
      </c>
      <c r="F122" s="65" t="n">
        <f aca="false">F12*(MIN(((Assumptions!$D$91*IF(Assumptions!F$206=2027,1+Assumptions!$F$193,1))/12),Assumptions!F$222)*(Assumptions!$C$64+Assumptions!$C$65)+MAX(0,MIN(((Assumptions!$D$91*IF(Assumptions!F$206=2027,1+Assumptions!$F$193,1))/12),8*Assumptions!F$222)-Assumptions!F$222)*(Assumptions!$C$66+Assumptions!$C$67)+IF(((Assumptions!$D$91*IF(Assumptions!F$206=2027,1+Assumptions!$F$193,1))/12)&gt;Assumptions!F$222,MIN(((Assumptions!$D$91*IF(Assumptions!F$206=2027,1+Assumptions!$F$193,1))/12),8*Assumptions!F$222)*Assumptions!$C$68+MIN(((Assumptions!$D$91*IF(Assumptions!F$206=2027,1+Assumptions!$F$193,1))/12),4*Assumptions!F$222)*Assumptions!$C$69,0))</f>
        <v>2402.6935</v>
      </c>
      <c r="G122" s="65" t="n">
        <f aca="false">G12*(MIN(((Assumptions!$D$91*IF(Assumptions!G$206=2027,1+Assumptions!$F$193,1))/12),Assumptions!G$222)*(Assumptions!$C$64+Assumptions!$C$65)+MAX(0,MIN(((Assumptions!$D$91*IF(Assumptions!G$206=2027,1+Assumptions!$F$193,1))/12),8*Assumptions!G$222)-Assumptions!G$222)*(Assumptions!$C$66+Assumptions!$C$67)+IF(((Assumptions!$D$91*IF(Assumptions!G$206=2027,1+Assumptions!$F$193,1))/12)&gt;Assumptions!G$222,MIN(((Assumptions!$D$91*IF(Assumptions!G$206=2027,1+Assumptions!$F$193,1))/12),8*Assumptions!G$222)*Assumptions!$C$68+MIN(((Assumptions!$D$91*IF(Assumptions!G$206=2027,1+Assumptions!$F$193,1))/12),4*Assumptions!G$222)*Assumptions!$C$69,0))</f>
        <v>2402.6935</v>
      </c>
      <c r="H122" s="65" t="n">
        <f aca="false">H12*(MIN(((Assumptions!$D$91*IF(Assumptions!H$206=2027,1+Assumptions!$F$193,1))/12),Assumptions!H$222)*(Assumptions!$C$64+Assumptions!$C$65)+MAX(0,MIN(((Assumptions!$D$91*IF(Assumptions!H$206=2027,1+Assumptions!$F$193,1))/12),8*Assumptions!H$222)-Assumptions!H$222)*(Assumptions!$C$66+Assumptions!$C$67)+IF(((Assumptions!$D$91*IF(Assumptions!H$206=2027,1+Assumptions!$F$193,1))/12)&gt;Assumptions!H$222,MIN(((Assumptions!$D$91*IF(Assumptions!H$206=2027,1+Assumptions!$F$193,1))/12),8*Assumptions!H$222)*Assumptions!$C$68+MIN(((Assumptions!$D$91*IF(Assumptions!H$206=2027,1+Assumptions!$F$193,1))/12),4*Assumptions!H$222)*Assumptions!$C$69,0))</f>
        <v>2402.6935</v>
      </c>
      <c r="I122" s="65" t="n">
        <f aca="false">I12*(MIN(((Assumptions!$D$91*IF(Assumptions!I$206=2027,1+Assumptions!$F$193,1))/12),Assumptions!I$222)*(Assumptions!$C$64+Assumptions!$C$65)+MAX(0,MIN(((Assumptions!$D$91*IF(Assumptions!I$206=2027,1+Assumptions!$F$193,1))/12),8*Assumptions!I$222)-Assumptions!I$222)*(Assumptions!$C$66+Assumptions!$C$67)+IF(((Assumptions!$D$91*IF(Assumptions!I$206=2027,1+Assumptions!$F$193,1))/12)&gt;Assumptions!I$222,MIN(((Assumptions!$D$91*IF(Assumptions!I$206=2027,1+Assumptions!$F$193,1))/12),8*Assumptions!I$222)*Assumptions!$C$68+MIN(((Assumptions!$D$91*IF(Assumptions!I$206=2027,1+Assumptions!$F$193,1))/12),4*Assumptions!I$222)*Assumptions!$C$69,0))</f>
        <v>2402.6935</v>
      </c>
      <c r="J122" s="65" t="n">
        <f aca="false">J12*(MIN(((Assumptions!$D$91*IF(Assumptions!J$206=2027,1+Assumptions!$F$193,1))/12),Assumptions!J$222)*(Assumptions!$C$64+Assumptions!$C$65)+MAX(0,MIN(((Assumptions!$D$91*IF(Assumptions!J$206=2027,1+Assumptions!$F$193,1))/12),8*Assumptions!J$222)-Assumptions!J$222)*(Assumptions!$C$66+Assumptions!$C$67)+IF(((Assumptions!$D$91*IF(Assumptions!J$206=2027,1+Assumptions!$F$193,1))/12)&gt;Assumptions!J$222,MIN(((Assumptions!$D$91*IF(Assumptions!J$206=2027,1+Assumptions!$F$193,1))/12),8*Assumptions!J$222)*Assumptions!$C$68+MIN(((Assumptions!$D$91*IF(Assumptions!J$206=2027,1+Assumptions!$F$193,1))/12),4*Assumptions!J$222)*Assumptions!$C$69,0))</f>
        <v>2402.6935</v>
      </c>
      <c r="K122" s="65" t="n">
        <f aca="false">K12*(MIN(((Assumptions!$D$91*IF(Assumptions!K$206=2027,1+Assumptions!$F$193,1))/12),Assumptions!K$222)*(Assumptions!$C$64+Assumptions!$C$65)+MAX(0,MIN(((Assumptions!$D$91*IF(Assumptions!K$206=2027,1+Assumptions!$F$193,1))/12),8*Assumptions!K$222)-Assumptions!K$222)*(Assumptions!$C$66+Assumptions!$C$67)+IF(((Assumptions!$D$91*IF(Assumptions!K$206=2027,1+Assumptions!$F$193,1))/12)&gt;Assumptions!K$222,MIN(((Assumptions!$D$91*IF(Assumptions!K$206=2027,1+Assumptions!$F$193,1))/12),8*Assumptions!K$222)*Assumptions!$C$68+MIN(((Assumptions!$D$91*IF(Assumptions!K$206=2027,1+Assumptions!$F$193,1))/12),4*Assumptions!K$222)*Assumptions!$C$69,0))</f>
        <v>2402.6935</v>
      </c>
      <c r="L122" s="65" t="n">
        <f aca="false">L12*(MIN(((Assumptions!$D$91*IF(Assumptions!L$206=2027,1+Assumptions!$F$193,1))/12),Assumptions!L$222)*(Assumptions!$C$64+Assumptions!$C$65)+MAX(0,MIN(((Assumptions!$D$91*IF(Assumptions!L$206=2027,1+Assumptions!$F$193,1))/12),8*Assumptions!L$222)-Assumptions!L$222)*(Assumptions!$C$66+Assumptions!$C$67)+IF(((Assumptions!$D$91*IF(Assumptions!L$206=2027,1+Assumptions!$F$193,1))/12)&gt;Assumptions!L$222,MIN(((Assumptions!$D$91*IF(Assumptions!L$206=2027,1+Assumptions!$F$193,1))/12),8*Assumptions!L$222)*Assumptions!$C$68+MIN(((Assumptions!$D$91*IF(Assumptions!L$206=2027,1+Assumptions!$F$193,1))/12),4*Assumptions!L$222)*Assumptions!$C$69,0))</f>
        <v>2402.6935</v>
      </c>
      <c r="M122" s="65" t="n">
        <f aca="false">M12*(MIN(((Assumptions!$D$91*IF(Assumptions!M$206=2027,1+Assumptions!$F$193,1))/12),Assumptions!M$222)*(Assumptions!$C$64+Assumptions!$C$65)+MAX(0,MIN(((Assumptions!$D$91*IF(Assumptions!M$206=2027,1+Assumptions!$F$193,1))/12),8*Assumptions!M$222)-Assumptions!M$222)*(Assumptions!$C$66+Assumptions!$C$67)+IF(((Assumptions!$D$91*IF(Assumptions!M$206=2027,1+Assumptions!$F$193,1))/12)&gt;Assumptions!M$222,MIN(((Assumptions!$D$91*IF(Assumptions!M$206=2027,1+Assumptions!$F$193,1))/12),8*Assumptions!M$222)*Assumptions!$C$68+MIN(((Assumptions!$D$91*IF(Assumptions!M$206=2027,1+Assumptions!$F$193,1))/12),4*Assumptions!M$222)*Assumptions!$C$69,0))</f>
        <v>2382.67105416667</v>
      </c>
      <c r="N122" s="65" t="n">
        <f aca="false">N12*(MIN(((Assumptions!$D$91*IF(Assumptions!N$206=2027,1+Assumptions!$F$193,1))/12),Assumptions!N$222)*(Assumptions!$C$64+Assumptions!$C$65)+MAX(0,MIN(((Assumptions!$D$91*IF(Assumptions!N$206=2027,1+Assumptions!$F$193,1))/12),8*Assumptions!N$222)-Assumptions!N$222)*(Assumptions!$C$66+Assumptions!$C$67)+IF(((Assumptions!$D$91*IF(Assumptions!N$206=2027,1+Assumptions!$F$193,1))/12)&gt;Assumptions!N$222,MIN(((Assumptions!$D$91*IF(Assumptions!N$206=2027,1+Assumptions!$F$193,1))/12),8*Assumptions!N$222)*Assumptions!$C$68+MIN(((Assumptions!$D$91*IF(Assumptions!N$206=2027,1+Assumptions!$F$193,1))/12),4*Assumptions!N$222)*Assumptions!$C$69,0))</f>
        <v>2362.81546204861</v>
      </c>
      <c r="O122" s="65" t="n">
        <f aca="false">O12*(MIN(((Assumptions!$D$91*IF(Assumptions!O$206=2027,1+Assumptions!$F$193,1))/12),Assumptions!O$222)*(Assumptions!$C$64+Assumptions!$C$65)+MAX(0,MIN(((Assumptions!$D$91*IF(Assumptions!O$206=2027,1+Assumptions!$F$193,1))/12),8*Assumptions!O$222)-Assumptions!O$222)*(Assumptions!$C$66+Assumptions!$C$67)+IF(((Assumptions!$D$91*IF(Assumptions!O$206=2027,1+Assumptions!$F$193,1))/12)&gt;Assumptions!O$222,MIN(((Assumptions!$D$91*IF(Assumptions!O$206=2027,1+Assumptions!$F$193,1))/12),8*Assumptions!O$222)*Assumptions!$C$68+MIN(((Assumptions!$D$91*IF(Assumptions!O$206=2027,1+Assumptions!$F$193,1))/12),4*Assumptions!O$222)*Assumptions!$C$69,0))</f>
        <v>2363.14777903154</v>
      </c>
      <c r="P122" s="65" t="n">
        <f aca="false">P12*(MIN(((Assumptions!$D$91*IF(Assumptions!P$206=2027,1+Assumptions!$F$193,1))/12),Assumptions!P$222)*(Assumptions!$C$64+Assumptions!$C$65)+MAX(0,MIN(((Assumptions!$D$91*IF(Assumptions!P$206=2027,1+Assumptions!$F$193,1))/12),8*Assumptions!P$222)-Assumptions!P$222)*(Assumptions!$C$66+Assumptions!$C$67)+IF(((Assumptions!$D$91*IF(Assumptions!P$206=2027,1+Assumptions!$F$193,1))/12)&gt;Assumptions!P$222,MIN(((Assumptions!$D$91*IF(Assumptions!P$206=2027,1+Assumptions!$F$193,1))/12),8*Assumptions!P$222)*Assumptions!$C$68+MIN(((Assumptions!$D$91*IF(Assumptions!P$206=2027,1+Assumptions!$F$193,1))/12),4*Assumptions!P$222)*Assumptions!$C$69,0))</f>
        <v>2363.310472991</v>
      </c>
      <c r="Q122" s="65" t="n">
        <f aca="false">Q12*(MIN(((Assumptions!$D$91*IF(Assumptions!Q$206=2027,1+Assumptions!$F$193,1))/12),Assumptions!Q$222)*(Assumptions!$C$64+Assumptions!$C$65)+MAX(0,MIN(((Assumptions!$D$91*IF(Assumptions!Q$206=2027,1+Assumptions!$F$193,1))/12),8*Assumptions!Q$222)-Assumptions!Q$222)*(Assumptions!$C$66+Assumptions!$C$67)+IF(((Assumptions!$D$91*IF(Assumptions!Q$206=2027,1+Assumptions!$F$193,1))/12)&gt;Assumptions!Q$222,MIN(((Assumptions!$D$91*IF(Assumptions!Q$206=2027,1+Assumptions!$F$193,1))/12),8*Assumptions!Q$222)*Assumptions!$C$68+MIN(((Assumptions!$D$91*IF(Assumptions!Q$206=2027,1+Assumptions!$F$193,1))/12),4*Assumptions!Q$222)*Assumptions!$C$69,0))</f>
        <v>2440.97048786217</v>
      </c>
      <c r="R122" s="65" t="n">
        <f aca="false">R12*(MIN(((Assumptions!$D$91*IF(Assumptions!R$206=2027,1+Assumptions!$F$193,1))/12),Assumptions!R$222)*(Assumptions!$C$64+Assumptions!$C$65)+MAX(0,MIN(((Assumptions!$D$91*IF(Assumptions!R$206=2027,1+Assumptions!$F$193,1))/12),8*Assumptions!R$222)-Assumptions!R$222)*(Assumptions!$C$66+Assumptions!$C$67)+IF(((Assumptions!$D$91*IF(Assumptions!R$206=2027,1+Assumptions!$F$193,1))/12)&gt;Assumptions!R$222,MIN(((Assumptions!$D$91*IF(Assumptions!R$206=2027,1+Assumptions!$F$193,1))/12),8*Assumptions!R$222)*Assumptions!$C$68+MIN(((Assumptions!$D$91*IF(Assumptions!R$206=2027,1+Assumptions!$F$193,1))/12),4*Assumptions!R$222)*Assumptions!$C$69,0))</f>
        <v>2440.9691230302</v>
      </c>
      <c r="S122" s="65" t="n">
        <f aca="false">S12*(MIN(((Assumptions!$D$91*IF(Assumptions!S$206=2027,1+Assumptions!$F$193,1))/12),Assumptions!S$222)*(Assumptions!$C$64+Assumptions!$C$65)+MAX(0,MIN(((Assumptions!$D$91*IF(Assumptions!S$206=2027,1+Assumptions!$F$193,1))/12),8*Assumptions!S$222)-Assumptions!S$222)*(Assumptions!$C$66+Assumptions!$C$67)+IF(((Assumptions!$D$91*IF(Assumptions!S$206=2027,1+Assumptions!$F$193,1))/12)&gt;Assumptions!S$222,MIN(((Assumptions!$D$91*IF(Assumptions!S$206=2027,1+Assumptions!$F$193,1))/12),8*Assumptions!S$222)*Assumptions!$C$68+MIN(((Assumptions!$D$91*IF(Assumptions!S$206=2027,1+Assumptions!$F$193,1))/12),4*Assumptions!S$222)*Assumptions!$C$69,0))</f>
        <v>2440.96916990923</v>
      </c>
      <c r="T122" s="65" t="n">
        <f aca="false">T12*(MIN(((Assumptions!$D$91*IF(Assumptions!T$206=2027,1+Assumptions!$F$193,1))/12),Assumptions!T$222)*(Assumptions!$C$64+Assumptions!$C$65)+MAX(0,MIN(((Assumptions!$D$91*IF(Assumptions!T$206=2027,1+Assumptions!$F$193,1))/12),8*Assumptions!T$222)-Assumptions!T$222)*(Assumptions!$C$66+Assumptions!$C$67)+IF(((Assumptions!$D$91*IF(Assumptions!T$206=2027,1+Assumptions!$F$193,1))/12)&gt;Assumptions!T$222,MIN(((Assumptions!$D$91*IF(Assumptions!T$206=2027,1+Assumptions!$F$193,1))/12),8*Assumptions!T$222)*Assumptions!$C$68+MIN(((Assumptions!$D$91*IF(Assumptions!T$206=2027,1+Assumptions!$F$193,1))/12),4*Assumptions!T$222)*Assumptions!$C$69,0))</f>
        <v>2440.96918089217</v>
      </c>
      <c r="U122" s="65" t="n">
        <f aca="false">U12*(MIN(((Assumptions!$D$91*IF(Assumptions!U$206=2027,1+Assumptions!$F$193,1))/12),Assumptions!U$222)*(Assumptions!$C$64+Assumptions!$C$65)+MAX(0,MIN(((Assumptions!$D$91*IF(Assumptions!U$206=2027,1+Assumptions!$F$193,1))/12),8*Assumptions!U$222)-Assumptions!U$222)*(Assumptions!$C$66+Assumptions!$C$67)+IF(((Assumptions!$D$91*IF(Assumptions!U$206=2027,1+Assumptions!$F$193,1))/12)&gt;Assumptions!U$222,MIN(((Assumptions!$D$91*IF(Assumptions!U$206=2027,1+Assumptions!$F$193,1))/12),8*Assumptions!U$222)*Assumptions!$C$68+MIN(((Assumptions!$D$91*IF(Assumptions!U$206=2027,1+Assumptions!$F$193,1))/12),4*Assumptions!U$222)*Assumptions!$C$69,0))</f>
        <v>2440.96918040999</v>
      </c>
      <c r="V122" s="65" t="n">
        <f aca="false">V12*(MIN(((Assumptions!$D$91*IF(Assumptions!V$206=2027,1+Assumptions!$F$193,1))/12),Assumptions!V$222)*(Assumptions!$C$64+Assumptions!$C$65)+MAX(0,MIN(((Assumptions!$D$91*IF(Assumptions!V$206=2027,1+Assumptions!$F$193,1))/12),8*Assumptions!V$222)-Assumptions!V$222)*(Assumptions!$C$66+Assumptions!$C$67)+IF(((Assumptions!$D$91*IF(Assumptions!V$206=2027,1+Assumptions!$F$193,1))/12)&gt;Assumptions!V$222,MIN(((Assumptions!$D$91*IF(Assumptions!V$206=2027,1+Assumptions!$F$193,1))/12),8*Assumptions!V$222)*Assumptions!$C$68+MIN(((Assumptions!$D$91*IF(Assumptions!V$206=2027,1+Assumptions!$F$193,1))/12),4*Assumptions!V$222)*Assumptions!$C$69,0))</f>
        <v>2440.96918032248</v>
      </c>
      <c r="W122" s="65" t="n">
        <f aca="false">W12*(MIN(((Assumptions!$D$91*IF(Assumptions!W$206=2027,1+Assumptions!$F$193,1))/12),Assumptions!W$222)*(Assumptions!$C$64+Assumptions!$C$65)+MAX(0,MIN(((Assumptions!$D$91*IF(Assumptions!W$206=2027,1+Assumptions!$F$193,1))/12),8*Assumptions!W$222)-Assumptions!W$222)*(Assumptions!$C$66+Assumptions!$C$67)+IF(((Assumptions!$D$91*IF(Assumptions!W$206=2027,1+Assumptions!$F$193,1))/12)&gt;Assumptions!W$222,MIN(((Assumptions!$D$91*IF(Assumptions!W$206=2027,1+Assumptions!$F$193,1))/12),8*Assumptions!W$222)*Assumptions!$C$68+MIN(((Assumptions!$D$91*IF(Assumptions!W$206=2027,1+Assumptions!$F$193,1))/12),4*Assumptions!W$222)*Assumptions!$C$69,0))</f>
        <v>2440.96918032723</v>
      </c>
      <c r="X122" s="65" t="n">
        <f aca="false">X12*(MIN(((Assumptions!$D$91*IF(Assumptions!X$206=2027,1+Assumptions!$F$193,1))/12),Assumptions!X$222)*(Assumptions!$C$64+Assumptions!$C$65)+MAX(0,MIN(((Assumptions!$D$91*IF(Assumptions!X$206=2027,1+Assumptions!$F$193,1))/12),8*Assumptions!X$222)-Assumptions!X$222)*(Assumptions!$C$66+Assumptions!$C$67)+IF(((Assumptions!$D$91*IF(Assumptions!X$206=2027,1+Assumptions!$F$193,1))/12)&gt;Assumptions!X$222,MIN(((Assumptions!$D$91*IF(Assumptions!X$206=2027,1+Assumptions!$F$193,1))/12),8*Assumptions!X$222)*Assumptions!$C$68+MIN(((Assumptions!$D$91*IF(Assumptions!X$206=2027,1+Assumptions!$F$193,1))/12),4*Assumptions!X$222)*Assumptions!$C$69,0))</f>
        <v>2440.96918032792</v>
      </c>
      <c r="Y122" s="65" t="n">
        <f aca="false">Y12*(MIN(((Assumptions!$D$91*IF(Assumptions!Y$206=2027,1+Assumptions!$F$193,1))/12),Assumptions!Y$222)*(Assumptions!$C$64+Assumptions!$C$65)+MAX(0,MIN(((Assumptions!$D$91*IF(Assumptions!Y$206=2027,1+Assumptions!$F$193,1))/12),8*Assumptions!Y$222)-Assumptions!Y$222)*(Assumptions!$C$66+Assumptions!$C$67)+IF(((Assumptions!$D$91*IF(Assumptions!Y$206=2027,1+Assumptions!$F$193,1))/12)&gt;Assumptions!Y$222,MIN(((Assumptions!$D$91*IF(Assumptions!Y$206=2027,1+Assumptions!$F$193,1))/12),8*Assumptions!Y$222)*Assumptions!$C$68+MIN(((Assumptions!$D$91*IF(Assumptions!Y$206=2027,1+Assumptions!$F$193,1))/12),4*Assumptions!Y$222)*Assumptions!$C$69,0))</f>
        <v>2440.96918032787</v>
      </c>
      <c r="Z122" s="65" t="n">
        <f aca="false">Z12*(MIN(((Assumptions!$D$91*IF(Assumptions!Z$206=2027,1+Assumptions!$F$193,1))/12),Assumptions!Z$222)*(Assumptions!$C$64+Assumptions!$C$65)+MAX(0,MIN(((Assumptions!$D$91*IF(Assumptions!Z$206=2027,1+Assumptions!$F$193,1))/12),8*Assumptions!Z$222)-Assumptions!Z$222)*(Assumptions!$C$66+Assumptions!$C$67)+IF(((Assumptions!$D$91*IF(Assumptions!Z$206=2027,1+Assumptions!$F$193,1))/12)&gt;Assumptions!Z$222,MIN(((Assumptions!$D$91*IF(Assumptions!Z$206=2027,1+Assumptions!$F$193,1))/12),8*Assumptions!Z$222)*Assumptions!$C$68+MIN(((Assumptions!$D$91*IF(Assumptions!Z$206=2027,1+Assumptions!$F$193,1))/12),4*Assumptions!Z$222)*Assumptions!$C$69,0))</f>
        <v>2440.96918032787</v>
      </c>
      <c r="AA122" s="65" t="n">
        <f aca="false">AA12*(MIN(((Assumptions!$D$91*IF(Assumptions!AA$206=2027,1+Assumptions!$F$193,1))/12),Assumptions!AA$222)*(Assumptions!$C$64+Assumptions!$C$65)+MAX(0,MIN(((Assumptions!$D$91*IF(Assumptions!AA$206=2027,1+Assumptions!$F$193,1))/12),8*Assumptions!AA$222)-Assumptions!AA$222)*(Assumptions!$C$66+Assumptions!$C$67)+IF(((Assumptions!$D$91*IF(Assumptions!AA$206=2027,1+Assumptions!$F$193,1))/12)&gt;Assumptions!AA$222,MIN(((Assumptions!$D$91*IF(Assumptions!AA$206=2027,1+Assumptions!$F$193,1))/12),8*Assumptions!AA$222)*Assumptions!$C$68+MIN(((Assumptions!$D$91*IF(Assumptions!AA$206=2027,1+Assumptions!$F$193,1))/12),4*Assumptions!AA$222)*Assumptions!$C$69,0))</f>
        <v>2440.96918032787</v>
      </c>
      <c r="AB122" s="65" t="n">
        <f aca="false">AB12*(MIN(((Assumptions!$D$91*IF(Assumptions!AB$206=2027,1+Assumptions!$F$193,1))/12),Assumptions!AB$222)*(Assumptions!$C$64+Assumptions!$C$65)+MAX(0,MIN(((Assumptions!$D$91*IF(Assumptions!AB$206=2027,1+Assumptions!$F$193,1))/12),8*Assumptions!AB$222)-Assumptions!AB$222)*(Assumptions!$C$66+Assumptions!$C$67)+IF(((Assumptions!$D$91*IF(Assumptions!AB$206=2027,1+Assumptions!$F$193,1))/12)&gt;Assumptions!AB$222,MIN(((Assumptions!$D$91*IF(Assumptions!AB$206=2027,1+Assumptions!$F$193,1))/12),8*Assumptions!AB$222)*Assumptions!$C$68+MIN(((Assumptions!$D$91*IF(Assumptions!AB$206=2027,1+Assumptions!$F$193,1))/12),4*Assumptions!AB$222)*Assumptions!$C$69,0))</f>
        <v>2440.96918032787</v>
      </c>
    </row>
    <row r="123" customFormat="false" ht="15" hidden="false" customHeight="false" outlineLevel="0" collapsed="false">
      <c r="A123" s="28" t="s">
        <v>1209</v>
      </c>
      <c r="B123" s="62"/>
      <c r="C123" s="64" t="n">
        <f aca="false">SUM(E123:P123)</f>
        <v>26107.2081249437</v>
      </c>
      <c r="D123" s="64" t="n">
        <f aca="false">SUM(Q123:AB123)</f>
        <v>26739.9300504303</v>
      </c>
      <c r="E123" s="65" t="n">
        <f aca="false">E13*(MIN(((Assumptions!$D$92*IF(Assumptions!E$206=2027,1+Assumptions!$F$193,1))/12),Assumptions!E$222)*(Assumptions!$C$64+Assumptions!$C$65)+MAX(0,MIN(((Assumptions!$D$92*IF(Assumptions!E$206=2027,1+Assumptions!$F$193,1))/12),8*Assumptions!E$222)-Assumptions!E$222)*(Assumptions!$C$66+Assumptions!$C$67)+IF(((Assumptions!$D$92*IF(Assumptions!E$206=2027,1+Assumptions!$F$193,1))/12)&gt;Assumptions!E$222,MIN(((Assumptions!$D$92*IF(Assumptions!E$206=2027,1+Assumptions!$F$193,1))/12),8*Assumptions!E$222)*Assumptions!$C$68+MIN(((Assumptions!$D$92*IF(Assumptions!E$206=2027,1+Assumptions!$F$193,1))/12),4*Assumptions!E$222)*Assumptions!$C$69,0))</f>
        <v>2186.127</v>
      </c>
      <c r="F123" s="65" t="n">
        <f aca="false">F13*(MIN(((Assumptions!$D$92*IF(Assumptions!F$206=2027,1+Assumptions!$F$193,1))/12),Assumptions!F$222)*(Assumptions!$C$64+Assumptions!$C$65)+MAX(0,MIN(((Assumptions!$D$92*IF(Assumptions!F$206=2027,1+Assumptions!$F$193,1))/12),8*Assumptions!F$222)-Assumptions!F$222)*(Assumptions!$C$66+Assumptions!$C$67)+IF(((Assumptions!$D$92*IF(Assumptions!F$206=2027,1+Assumptions!$F$193,1))/12)&gt;Assumptions!F$222,MIN(((Assumptions!$D$92*IF(Assumptions!F$206=2027,1+Assumptions!$F$193,1))/12),8*Assumptions!F$222)*Assumptions!$C$68+MIN(((Assumptions!$D$92*IF(Assumptions!F$206=2027,1+Assumptions!$F$193,1))/12),4*Assumptions!F$222)*Assumptions!$C$69,0))</f>
        <v>2186.127</v>
      </c>
      <c r="G123" s="65" t="n">
        <f aca="false">G13*(MIN(((Assumptions!$D$92*IF(Assumptions!G$206=2027,1+Assumptions!$F$193,1))/12),Assumptions!G$222)*(Assumptions!$C$64+Assumptions!$C$65)+MAX(0,MIN(((Assumptions!$D$92*IF(Assumptions!G$206=2027,1+Assumptions!$F$193,1))/12),8*Assumptions!G$222)-Assumptions!G$222)*(Assumptions!$C$66+Assumptions!$C$67)+IF(((Assumptions!$D$92*IF(Assumptions!G$206=2027,1+Assumptions!$F$193,1))/12)&gt;Assumptions!G$222,MIN(((Assumptions!$D$92*IF(Assumptions!G$206=2027,1+Assumptions!$F$193,1))/12),8*Assumptions!G$222)*Assumptions!$C$68+MIN(((Assumptions!$D$92*IF(Assumptions!G$206=2027,1+Assumptions!$F$193,1))/12),4*Assumptions!G$222)*Assumptions!$C$69,0))</f>
        <v>2186.127</v>
      </c>
      <c r="H123" s="65" t="n">
        <f aca="false">H13*(MIN(((Assumptions!$D$92*IF(Assumptions!H$206=2027,1+Assumptions!$F$193,1))/12),Assumptions!H$222)*(Assumptions!$C$64+Assumptions!$C$65)+MAX(0,MIN(((Assumptions!$D$92*IF(Assumptions!H$206=2027,1+Assumptions!$F$193,1))/12),8*Assumptions!H$222)-Assumptions!H$222)*(Assumptions!$C$66+Assumptions!$C$67)+IF(((Assumptions!$D$92*IF(Assumptions!H$206=2027,1+Assumptions!$F$193,1))/12)&gt;Assumptions!H$222,MIN(((Assumptions!$D$92*IF(Assumptions!H$206=2027,1+Assumptions!$F$193,1))/12),8*Assumptions!H$222)*Assumptions!$C$68+MIN(((Assumptions!$D$92*IF(Assumptions!H$206=2027,1+Assumptions!$F$193,1))/12),4*Assumptions!H$222)*Assumptions!$C$69,0))</f>
        <v>2186.127</v>
      </c>
      <c r="I123" s="65" t="n">
        <f aca="false">I13*(MIN(((Assumptions!$D$92*IF(Assumptions!I$206=2027,1+Assumptions!$F$193,1))/12),Assumptions!I$222)*(Assumptions!$C$64+Assumptions!$C$65)+MAX(0,MIN(((Assumptions!$D$92*IF(Assumptions!I$206=2027,1+Assumptions!$F$193,1))/12),8*Assumptions!I$222)-Assumptions!I$222)*(Assumptions!$C$66+Assumptions!$C$67)+IF(((Assumptions!$D$92*IF(Assumptions!I$206=2027,1+Assumptions!$F$193,1))/12)&gt;Assumptions!I$222,MIN(((Assumptions!$D$92*IF(Assumptions!I$206=2027,1+Assumptions!$F$193,1))/12),8*Assumptions!I$222)*Assumptions!$C$68+MIN(((Assumptions!$D$92*IF(Assumptions!I$206=2027,1+Assumptions!$F$193,1))/12),4*Assumptions!I$222)*Assumptions!$C$69,0))</f>
        <v>2186.127</v>
      </c>
      <c r="J123" s="65" t="n">
        <f aca="false">J13*(MIN(((Assumptions!$D$92*IF(Assumptions!J$206=2027,1+Assumptions!$F$193,1))/12),Assumptions!J$222)*(Assumptions!$C$64+Assumptions!$C$65)+MAX(0,MIN(((Assumptions!$D$92*IF(Assumptions!J$206=2027,1+Assumptions!$F$193,1))/12),8*Assumptions!J$222)-Assumptions!J$222)*(Assumptions!$C$66+Assumptions!$C$67)+IF(((Assumptions!$D$92*IF(Assumptions!J$206=2027,1+Assumptions!$F$193,1))/12)&gt;Assumptions!J$222,MIN(((Assumptions!$D$92*IF(Assumptions!J$206=2027,1+Assumptions!$F$193,1))/12),8*Assumptions!J$222)*Assumptions!$C$68+MIN(((Assumptions!$D$92*IF(Assumptions!J$206=2027,1+Assumptions!$F$193,1))/12),4*Assumptions!J$222)*Assumptions!$C$69,0))</f>
        <v>2186.127</v>
      </c>
      <c r="K123" s="65" t="n">
        <f aca="false">K13*(MIN(((Assumptions!$D$92*IF(Assumptions!K$206=2027,1+Assumptions!$F$193,1))/12),Assumptions!K$222)*(Assumptions!$C$64+Assumptions!$C$65)+MAX(0,MIN(((Assumptions!$D$92*IF(Assumptions!K$206=2027,1+Assumptions!$F$193,1))/12),8*Assumptions!K$222)-Assumptions!K$222)*(Assumptions!$C$66+Assumptions!$C$67)+IF(((Assumptions!$D$92*IF(Assumptions!K$206=2027,1+Assumptions!$F$193,1))/12)&gt;Assumptions!K$222,MIN(((Assumptions!$D$92*IF(Assumptions!K$206=2027,1+Assumptions!$F$193,1))/12),8*Assumptions!K$222)*Assumptions!$C$68+MIN(((Assumptions!$D$92*IF(Assumptions!K$206=2027,1+Assumptions!$F$193,1))/12),4*Assumptions!K$222)*Assumptions!$C$69,0))</f>
        <v>2186.127</v>
      </c>
      <c r="L123" s="65" t="n">
        <f aca="false">L13*(MIN(((Assumptions!$D$92*IF(Assumptions!L$206=2027,1+Assumptions!$F$193,1))/12),Assumptions!L$222)*(Assumptions!$C$64+Assumptions!$C$65)+MAX(0,MIN(((Assumptions!$D$92*IF(Assumptions!L$206=2027,1+Assumptions!$F$193,1))/12),8*Assumptions!L$222)-Assumptions!L$222)*(Assumptions!$C$66+Assumptions!$C$67)+IF(((Assumptions!$D$92*IF(Assumptions!L$206=2027,1+Assumptions!$F$193,1))/12)&gt;Assumptions!L$222,MIN(((Assumptions!$D$92*IF(Assumptions!L$206=2027,1+Assumptions!$F$193,1))/12),8*Assumptions!L$222)*Assumptions!$C$68+MIN(((Assumptions!$D$92*IF(Assumptions!L$206=2027,1+Assumptions!$F$193,1))/12),4*Assumptions!L$222)*Assumptions!$C$69,0))</f>
        <v>2186.127</v>
      </c>
      <c r="M123" s="65" t="n">
        <f aca="false">M13*(MIN(((Assumptions!$D$92*IF(Assumptions!M$206=2027,1+Assumptions!$F$193,1))/12),Assumptions!M$222)*(Assumptions!$C$64+Assumptions!$C$65)+MAX(0,MIN(((Assumptions!$D$92*IF(Assumptions!M$206=2027,1+Assumptions!$F$193,1))/12),8*Assumptions!M$222)-Assumptions!M$222)*(Assumptions!$C$66+Assumptions!$C$67)+IF(((Assumptions!$D$92*IF(Assumptions!M$206=2027,1+Assumptions!$F$193,1))/12)&gt;Assumptions!M$222,MIN(((Assumptions!$D$92*IF(Assumptions!M$206=2027,1+Assumptions!$F$193,1))/12),8*Assumptions!M$222)*Assumptions!$C$68+MIN(((Assumptions!$D$92*IF(Assumptions!M$206=2027,1+Assumptions!$F$193,1))/12),4*Assumptions!M$222)*Assumptions!$C$69,0))</f>
        <v>2167.909275</v>
      </c>
      <c r="N123" s="65" t="n">
        <f aca="false">N13*(MIN(((Assumptions!$D$92*IF(Assumptions!N$206=2027,1+Assumptions!$F$193,1))/12),Assumptions!N$222)*(Assumptions!$C$64+Assumptions!$C$65)+MAX(0,MIN(((Assumptions!$D$92*IF(Assumptions!N$206=2027,1+Assumptions!$F$193,1))/12),8*Assumptions!N$222)-Assumptions!N$222)*(Assumptions!$C$66+Assumptions!$C$67)+IF(((Assumptions!$D$92*IF(Assumptions!N$206=2027,1+Assumptions!$F$193,1))/12)&gt;Assumptions!N$222,MIN(((Assumptions!$D$92*IF(Assumptions!N$206=2027,1+Assumptions!$F$193,1))/12),8*Assumptions!N$222)*Assumptions!$C$68+MIN(((Assumptions!$D$92*IF(Assumptions!N$206=2027,1+Assumptions!$F$193,1))/12),4*Assumptions!N$222)*Assumptions!$C$69,0))</f>
        <v>2149.843364375</v>
      </c>
      <c r="O123" s="65" t="n">
        <f aca="false">O13*(MIN(((Assumptions!$D$92*IF(Assumptions!O$206=2027,1+Assumptions!$F$193,1))/12),Assumptions!O$222)*(Assumptions!$C$64+Assumptions!$C$65)+MAX(0,MIN(((Assumptions!$D$92*IF(Assumptions!O$206=2027,1+Assumptions!$F$193,1))/12),8*Assumptions!O$222)-Assumptions!O$222)*(Assumptions!$C$66+Assumptions!$C$67)+IF(((Assumptions!$D$92*IF(Assumptions!O$206=2027,1+Assumptions!$F$193,1))/12)&gt;Assumptions!O$222,MIN(((Assumptions!$D$92*IF(Assumptions!O$206=2027,1+Assumptions!$F$193,1))/12),8*Assumptions!O$222)*Assumptions!$C$68+MIN(((Assumptions!$D$92*IF(Assumptions!O$206=2027,1+Assumptions!$F$193,1))/12),4*Assumptions!O$222)*Assumptions!$C$69,0))</f>
        <v>2150.14572800521</v>
      </c>
      <c r="P123" s="65" t="n">
        <f aca="false">P13*(MIN(((Assumptions!$D$92*IF(Assumptions!P$206=2027,1+Assumptions!$F$193,1))/12),Assumptions!P$222)*(Assumptions!$C$64+Assumptions!$C$65)+MAX(0,MIN(((Assumptions!$D$92*IF(Assumptions!P$206=2027,1+Assumptions!$F$193,1))/12),8*Assumptions!P$222)-Assumptions!P$222)*(Assumptions!$C$66+Assumptions!$C$67)+IF(((Assumptions!$D$92*IF(Assumptions!P$206=2027,1+Assumptions!$F$193,1))/12)&gt;Assumptions!P$222,MIN(((Assumptions!$D$92*IF(Assumptions!P$206=2027,1+Assumptions!$F$193,1))/12),8*Assumptions!P$222)*Assumptions!$C$68+MIN(((Assumptions!$D$92*IF(Assumptions!P$206=2027,1+Assumptions!$F$193,1))/12),4*Assumptions!P$222)*Assumptions!$C$69,0))</f>
        <v>2150.2937575635</v>
      </c>
      <c r="Q123" s="65" t="n">
        <f aca="false">Q13*(MIN(((Assumptions!$D$92*IF(Assumptions!Q$206=2027,1+Assumptions!$F$193,1))/12),Assumptions!Q$222)*(Assumptions!$C$64+Assumptions!$C$65)+MAX(0,MIN(((Assumptions!$D$92*IF(Assumptions!Q$206=2027,1+Assumptions!$F$193,1))/12),8*Assumptions!Q$222)-Assumptions!Q$222)*(Assumptions!$C$66+Assumptions!$C$67)+IF(((Assumptions!$D$92*IF(Assumptions!Q$206=2027,1+Assumptions!$F$193,1))/12)&gt;Assumptions!Q$222,MIN(((Assumptions!$D$92*IF(Assumptions!Q$206=2027,1+Assumptions!$F$193,1))/12),8*Assumptions!Q$222)*Assumptions!$C$68+MIN(((Assumptions!$D$92*IF(Assumptions!Q$206=2027,1+Assumptions!$F$193,1))/12),4*Assumptions!Q$222)*Assumptions!$C$69,0))</f>
        <v>2228.32860346626</v>
      </c>
      <c r="R123" s="65" t="n">
        <f aca="false">R13*(MIN(((Assumptions!$D$92*IF(Assumptions!R$206=2027,1+Assumptions!$F$193,1))/12),Assumptions!R$222)*(Assumptions!$C$64+Assumptions!$C$65)+MAX(0,MIN(((Assumptions!$D$92*IF(Assumptions!R$206=2027,1+Assumptions!$F$193,1))/12),8*Assumptions!R$222)-Assumptions!R$222)*(Assumptions!$C$66+Assumptions!$C$67)+IF(((Assumptions!$D$92*IF(Assumptions!R$206=2027,1+Assumptions!$F$193,1))/12)&gt;Assumptions!R$222,MIN(((Assumptions!$D$92*IF(Assumptions!R$206=2027,1+Assumptions!$F$193,1))/12),8*Assumptions!R$222)*Assumptions!$C$68+MIN(((Assumptions!$D$92*IF(Assumptions!R$206=2027,1+Assumptions!$F$193,1))/12),4*Assumptions!R$222)*Assumptions!$C$69,0))</f>
        <v>2228.3273575298</v>
      </c>
      <c r="S123" s="65" t="n">
        <f aca="false">S13*(MIN(((Assumptions!$D$92*IF(Assumptions!S$206=2027,1+Assumptions!$F$193,1))/12),Assumptions!S$222)*(Assumptions!$C$64+Assumptions!$C$65)+MAX(0,MIN(((Assumptions!$D$92*IF(Assumptions!S$206=2027,1+Assumptions!$F$193,1))/12),8*Assumptions!S$222)-Assumptions!S$222)*(Assumptions!$C$66+Assumptions!$C$67)+IF(((Assumptions!$D$92*IF(Assumptions!S$206=2027,1+Assumptions!$F$193,1))/12)&gt;Assumptions!S$222,MIN(((Assumptions!$D$92*IF(Assumptions!S$206=2027,1+Assumptions!$F$193,1))/12),8*Assumptions!S$222)*Assumptions!$C$68+MIN(((Assumptions!$D$92*IF(Assumptions!S$206=2027,1+Assumptions!$F$193,1))/12),4*Assumptions!S$222)*Assumptions!$C$69,0))</f>
        <v>2228.32740032503</v>
      </c>
      <c r="T123" s="65" t="n">
        <f aca="false">T13*(MIN(((Assumptions!$D$92*IF(Assumptions!T$206=2027,1+Assumptions!$F$193,1))/12),Assumptions!T$222)*(Assumptions!$C$64+Assumptions!$C$65)+MAX(0,MIN(((Assumptions!$D$92*IF(Assumptions!T$206=2027,1+Assumptions!$F$193,1))/12),8*Assumptions!T$222)-Assumptions!T$222)*(Assumptions!$C$66+Assumptions!$C$67)+IF(((Assumptions!$D$92*IF(Assumptions!T$206=2027,1+Assumptions!$F$193,1))/12)&gt;Assumptions!T$222,MIN(((Assumptions!$D$92*IF(Assumptions!T$206=2027,1+Assumptions!$F$193,1))/12),8*Assumptions!T$222)*Assumptions!$C$68+MIN(((Assumptions!$D$92*IF(Assumptions!T$206=2027,1+Assumptions!$F$193,1))/12),4*Assumptions!T$222)*Assumptions!$C$69,0))</f>
        <v>2228.32741035121</v>
      </c>
      <c r="U123" s="65" t="n">
        <f aca="false">U13*(MIN(((Assumptions!$D$92*IF(Assumptions!U$206=2027,1+Assumptions!$F$193,1))/12),Assumptions!U$222)*(Assumptions!$C$64+Assumptions!$C$65)+MAX(0,MIN(((Assumptions!$D$92*IF(Assumptions!U$206=2027,1+Assumptions!$F$193,1))/12),8*Assumptions!U$222)-Assumptions!U$222)*(Assumptions!$C$66+Assumptions!$C$67)+IF(((Assumptions!$D$92*IF(Assumptions!U$206=2027,1+Assumptions!$F$193,1))/12)&gt;Assumptions!U$222,MIN(((Assumptions!$D$92*IF(Assumptions!U$206=2027,1+Assumptions!$F$193,1))/12),8*Assumptions!U$222)*Assumptions!$C$68+MIN(((Assumptions!$D$92*IF(Assumptions!U$206=2027,1+Assumptions!$F$193,1))/12),4*Assumptions!U$222)*Assumptions!$C$69,0))</f>
        <v>2228.32740991103</v>
      </c>
      <c r="V123" s="65" t="n">
        <f aca="false">V13*(MIN(((Assumptions!$D$92*IF(Assumptions!V$206=2027,1+Assumptions!$F$193,1))/12),Assumptions!V$222)*(Assumptions!$C$64+Assumptions!$C$65)+MAX(0,MIN(((Assumptions!$D$92*IF(Assumptions!V$206=2027,1+Assumptions!$F$193,1))/12),8*Assumptions!V$222)-Assumptions!V$222)*(Assumptions!$C$66+Assumptions!$C$67)+IF(((Assumptions!$D$92*IF(Assumptions!V$206=2027,1+Assumptions!$F$193,1))/12)&gt;Assumptions!V$222,MIN(((Assumptions!$D$92*IF(Assumptions!V$206=2027,1+Assumptions!$F$193,1))/12),8*Assumptions!V$222)*Assumptions!$C$68+MIN(((Assumptions!$D$92*IF(Assumptions!V$206=2027,1+Assumptions!$F$193,1))/12),4*Assumptions!V$222)*Assumptions!$C$69,0))</f>
        <v>2228.32740983115</v>
      </c>
      <c r="W123" s="65" t="n">
        <f aca="false">W13*(MIN(((Assumptions!$D$92*IF(Assumptions!W$206=2027,1+Assumptions!$F$193,1))/12),Assumptions!W$222)*(Assumptions!$C$64+Assumptions!$C$65)+MAX(0,MIN(((Assumptions!$D$92*IF(Assumptions!W$206=2027,1+Assumptions!$F$193,1))/12),8*Assumptions!W$222)-Assumptions!W$222)*(Assumptions!$C$66+Assumptions!$C$67)+IF(((Assumptions!$D$92*IF(Assumptions!W$206=2027,1+Assumptions!$F$193,1))/12)&gt;Assumptions!W$222,MIN(((Assumptions!$D$92*IF(Assumptions!W$206=2027,1+Assumptions!$F$193,1))/12),8*Assumptions!W$222)*Assumptions!$C$68+MIN(((Assumptions!$D$92*IF(Assumptions!W$206=2027,1+Assumptions!$F$193,1))/12),4*Assumptions!W$222)*Assumptions!$C$69,0))</f>
        <v>2228.32740983548</v>
      </c>
      <c r="X123" s="65" t="n">
        <f aca="false">X13*(MIN(((Assumptions!$D$92*IF(Assumptions!X$206=2027,1+Assumptions!$F$193,1))/12),Assumptions!X$222)*(Assumptions!$C$64+Assumptions!$C$65)+MAX(0,MIN(((Assumptions!$D$92*IF(Assumptions!X$206=2027,1+Assumptions!$F$193,1))/12),8*Assumptions!X$222)-Assumptions!X$222)*(Assumptions!$C$66+Assumptions!$C$67)+IF(((Assumptions!$D$92*IF(Assumptions!X$206=2027,1+Assumptions!$F$193,1))/12)&gt;Assumptions!X$222,MIN(((Assumptions!$D$92*IF(Assumptions!X$206=2027,1+Assumptions!$F$193,1))/12),8*Assumptions!X$222)*Assumptions!$C$68+MIN(((Assumptions!$D$92*IF(Assumptions!X$206=2027,1+Assumptions!$F$193,1))/12),4*Assumptions!X$222)*Assumptions!$C$69,0))</f>
        <v>2228.32740983611</v>
      </c>
      <c r="Y123" s="65" t="n">
        <f aca="false">Y13*(MIN(((Assumptions!$D$92*IF(Assumptions!Y$206=2027,1+Assumptions!$F$193,1))/12),Assumptions!Y$222)*(Assumptions!$C$64+Assumptions!$C$65)+MAX(0,MIN(((Assumptions!$D$92*IF(Assumptions!Y$206=2027,1+Assumptions!$F$193,1))/12),8*Assumptions!Y$222)-Assumptions!Y$222)*(Assumptions!$C$66+Assumptions!$C$67)+IF(((Assumptions!$D$92*IF(Assumptions!Y$206=2027,1+Assumptions!$F$193,1))/12)&gt;Assumptions!Y$222,MIN(((Assumptions!$D$92*IF(Assumptions!Y$206=2027,1+Assumptions!$F$193,1))/12),8*Assumptions!Y$222)*Assumptions!$C$68+MIN(((Assumptions!$D$92*IF(Assumptions!Y$206=2027,1+Assumptions!$F$193,1))/12),4*Assumptions!Y$222)*Assumptions!$C$69,0))</f>
        <v>2228.32740983607</v>
      </c>
      <c r="Z123" s="65" t="n">
        <f aca="false">Z13*(MIN(((Assumptions!$D$92*IF(Assumptions!Z$206=2027,1+Assumptions!$F$193,1))/12),Assumptions!Z$222)*(Assumptions!$C$64+Assumptions!$C$65)+MAX(0,MIN(((Assumptions!$D$92*IF(Assumptions!Z$206=2027,1+Assumptions!$F$193,1))/12),8*Assumptions!Z$222)-Assumptions!Z$222)*(Assumptions!$C$66+Assumptions!$C$67)+IF(((Assumptions!$D$92*IF(Assumptions!Z$206=2027,1+Assumptions!$F$193,1))/12)&gt;Assumptions!Z$222,MIN(((Assumptions!$D$92*IF(Assumptions!Z$206=2027,1+Assumptions!$F$193,1))/12),8*Assumptions!Z$222)*Assumptions!$C$68+MIN(((Assumptions!$D$92*IF(Assumptions!Z$206=2027,1+Assumptions!$F$193,1))/12),4*Assumptions!Z$222)*Assumptions!$C$69,0))</f>
        <v>2228.32740983607</v>
      </c>
      <c r="AA123" s="65" t="n">
        <f aca="false">AA13*(MIN(((Assumptions!$D$92*IF(Assumptions!AA$206=2027,1+Assumptions!$F$193,1))/12),Assumptions!AA$222)*(Assumptions!$C$64+Assumptions!$C$65)+MAX(0,MIN(((Assumptions!$D$92*IF(Assumptions!AA$206=2027,1+Assumptions!$F$193,1))/12),8*Assumptions!AA$222)-Assumptions!AA$222)*(Assumptions!$C$66+Assumptions!$C$67)+IF(((Assumptions!$D$92*IF(Assumptions!AA$206=2027,1+Assumptions!$F$193,1))/12)&gt;Assumptions!AA$222,MIN(((Assumptions!$D$92*IF(Assumptions!AA$206=2027,1+Assumptions!$F$193,1))/12),8*Assumptions!AA$222)*Assumptions!$C$68+MIN(((Assumptions!$D$92*IF(Assumptions!AA$206=2027,1+Assumptions!$F$193,1))/12),4*Assumptions!AA$222)*Assumptions!$C$69,0))</f>
        <v>2228.32740983607</v>
      </c>
      <c r="AB123" s="65" t="n">
        <f aca="false">AB13*(MIN(((Assumptions!$D$92*IF(Assumptions!AB$206=2027,1+Assumptions!$F$193,1))/12),Assumptions!AB$222)*(Assumptions!$C$64+Assumptions!$C$65)+MAX(0,MIN(((Assumptions!$D$92*IF(Assumptions!AB$206=2027,1+Assumptions!$F$193,1))/12),8*Assumptions!AB$222)-Assumptions!AB$222)*(Assumptions!$C$66+Assumptions!$C$67)+IF(((Assumptions!$D$92*IF(Assumptions!AB$206=2027,1+Assumptions!$F$193,1))/12)&gt;Assumptions!AB$222,MIN(((Assumptions!$D$92*IF(Assumptions!AB$206=2027,1+Assumptions!$F$193,1))/12),8*Assumptions!AB$222)*Assumptions!$C$68+MIN(((Assumptions!$D$92*IF(Assumptions!AB$206=2027,1+Assumptions!$F$193,1))/12),4*Assumptions!AB$222)*Assumptions!$C$69,0))</f>
        <v>2228.32740983607</v>
      </c>
    </row>
    <row r="124" customFormat="false" ht="15" hidden="false" customHeight="false" outlineLevel="0" collapsed="false">
      <c r="A124" s="28" t="s">
        <v>1210</v>
      </c>
      <c r="B124" s="62"/>
      <c r="C124" s="64" t="n">
        <f aca="false">SUM(E124:P124)</f>
        <v>16839.8096724857</v>
      </c>
      <c r="D124" s="64" t="n">
        <f aca="false">SUM(Q124:AB124)</f>
        <v>21304.710702905</v>
      </c>
      <c r="E124" s="65" t="n">
        <f aca="false">E14*(MIN(((Assumptions!$D$93*IF(Assumptions!E$206=2027,1+Assumptions!$F$193,1))/12),Assumptions!E$222)*(Assumptions!$C$64+Assumptions!$C$65)+MAX(0,MIN(((Assumptions!$D$93*IF(Assumptions!E$206=2027,1+Assumptions!$F$193,1))/12),8*Assumptions!E$222)-Assumptions!E$222)*(Assumptions!$C$66+Assumptions!$C$67)+IF(((Assumptions!$D$93*IF(Assumptions!E$206=2027,1+Assumptions!$F$193,1))/12)&gt;Assumptions!E$222,MIN(((Assumptions!$D$93*IF(Assumptions!E$206=2027,1+Assumptions!$F$193,1))/12),8*Assumptions!E$222)*Assumptions!$C$68+MIN(((Assumptions!$D$93*IF(Assumptions!E$206=2027,1+Assumptions!$F$193,1))/12),4*Assumptions!E$222)*Assumptions!$C$69,0))</f>
        <v>1197.727</v>
      </c>
      <c r="F124" s="65" t="n">
        <f aca="false">F14*(MIN(((Assumptions!$D$93*IF(Assumptions!F$206=2027,1+Assumptions!$F$193,1))/12),Assumptions!F$222)*(Assumptions!$C$64+Assumptions!$C$65)+MAX(0,MIN(((Assumptions!$D$93*IF(Assumptions!F$206=2027,1+Assumptions!$F$193,1))/12),8*Assumptions!F$222)-Assumptions!F$222)*(Assumptions!$C$66+Assumptions!$C$67)+IF(((Assumptions!$D$93*IF(Assumptions!F$206=2027,1+Assumptions!$F$193,1))/12)&gt;Assumptions!F$222,MIN(((Assumptions!$D$93*IF(Assumptions!F$206=2027,1+Assumptions!$F$193,1))/12),8*Assumptions!F$222)*Assumptions!$C$68+MIN(((Assumptions!$D$93*IF(Assumptions!F$206=2027,1+Assumptions!$F$193,1))/12),4*Assumptions!F$222)*Assumptions!$C$69,0))</f>
        <v>1197.727</v>
      </c>
      <c r="G124" s="65" t="n">
        <f aca="false">G14*(MIN(((Assumptions!$D$93*IF(Assumptions!G$206=2027,1+Assumptions!$F$193,1))/12),Assumptions!G$222)*(Assumptions!$C$64+Assumptions!$C$65)+MAX(0,MIN(((Assumptions!$D$93*IF(Assumptions!G$206=2027,1+Assumptions!$F$193,1))/12),8*Assumptions!G$222)-Assumptions!G$222)*(Assumptions!$C$66+Assumptions!$C$67)+IF(((Assumptions!$D$93*IF(Assumptions!G$206=2027,1+Assumptions!$F$193,1))/12)&gt;Assumptions!G$222,MIN(((Assumptions!$D$93*IF(Assumptions!G$206=2027,1+Assumptions!$F$193,1))/12),8*Assumptions!G$222)*Assumptions!$C$68+MIN(((Assumptions!$D$93*IF(Assumptions!G$206=2027,1+Assumptions!$F$193,1))/12),4*Assumptions!G$222)*Assumptions!$C$69,0))</f>
        <v>1397.34816666667</v>
      </c>
      <c r="H124" s="65" t="n">
        <f aca="false">H14*(MIN(((Assumptions!$D$93*IF(Assumptions!H$206=2027,1+Assumptions!$F$193,1))/12),Assumptions!H$222)*(Assumptions!$C$64+Assumptions!$C$65)+MAX(0,MIN(((Assumptions!$D$93*IF(Assumptions!H$206=2027,1+Assumptions!$F$193,1))/12),8*Assumptions!H$222)-Assumptions!H$222)*(Assumptions!$C$66+Assumptions!$C$67)+IF(((Assumptions!$D$93*IF(Assumptions!H$206=2027,1+Assumptions!$F$193,1))/12)&gt;Assumptions!H$222,MIN(((Assumptions!$D$93*IF(Assumptions!H$206=2027,1+Assumptions!$F$193,1))/12),8*Assumptions!H$222)*Assumptions!$C$68+MIN(((Assumptions!$D$93*IF(Assumptions!H$206=2027,1+Assumptions!$F$193,1))/12),4*Assumptions!H$222)*Assumptions!$C$69,0))</f>
        <v>1397.34816666667</v>
      </c>
      <c r="I124" s="65" t="n">
        <f aca="false">I14*(MIN(((Assumptions!$D$93*IF(Assumptions!I$206=2027,1+Assumptions!$F$193,1))/12),Assumptions!I$222)*(Assumptions!$C$64+Assumptions!$C$65)+MAX(0,MIN(((Assumptions!$D$93*IF(Assumptions!I$206=2027,1+Assumptions!$F$193,1))/12),8*Assumptions!I$222)-Assumptions!I$222)*(Assumptions!$C$66+Assumptions!$C$67)+IF(((Assumptions!$D$93*IF(Assumptions!I$206=2027,1+Assumptions!$F$193,1))/12)&gt;Assumptions!I$222,MIN(((Assumptions!$D$93*IF(Assumptions!I$206=2027,1+Assumptions!$F$193,1))/12),8*Assumptions!I$222)*Assumptions!$C$68+MIN(((Assumptions!$D$93*IF(Assumptions!I$206=2027,1+Assumptions!$F$193,1))/12),4*Assumptions!I$222)*Assumptions!$C$69,0))</f>
        <v>1397.34816666667</v>
      </c>
      <c r="J124" s="65" t="n">
        <f aca="false">J14*(MIN(((Assumptions!$D$93*IF(Assumptions!J$206=2027,1+Assumptions!$F$193,1))/12),Assumptions!J$222)*(Assumptions!$C$64+Assumptions!$C$65)+MAX(0,MIN(((Assumptions!$D$93*IF(Assumptions!J$206=2027,1+Assumptions!$F$193,1))/12),8*Assumptions!J$222)-Assumptions!J$222)*(Assumptions!$C$66+Assumptions!$C$67)+IF(((Assumptions!$D$93*IF(Assumptions!J$206=2027,1+Assumptions!$F$193,1))/12)&gt;Assumptions!J$222,MIN(((Assumptions!$D$93*IF(Assumptions!J$206=2027,1+Assumptions!$F$193,1))/12),8*Assumptions!J$222)*Assumptions!$C$68+MIN(((Assumptions!$D$93*IF(Assumptions!J$206=2027,1+Assumptions!$F$193,1))/12),4*Assumptions!J$222)*Assumptions!$C$69,0))</f>
        <v>1397.34816666667</v>
      </c>
      <c r="K124" s="65" t="n">
        <f aca="false">K14*(MIN(((Assumptions!$D$93*IF(Assumptions!K$206=2027,1+Assumptions!$F$193,1))/12),Assumptions!K$222)*(Assumptions!$C$64+Assumptions!$C$65)+MAX(0,MIN(((Assumptions!$D$93*IF(Assumptions!K$206=2027,1+Assumptions!$F$193,1))/12),8*Assumptions!K$222)-Assumptions!K$222)*(Assumptions!$C$66+Assumptions!$C$67)+IF(((Assumptions!$D$93*IF(Assumptions!K$206=2027,1+Assumptions!$F$193,1))/12)&gt;Assumptions!K$222,MIN(((Assumptions!$D$93*IF(Assumptions!K$206=2027,1+Assumptions!$F$193,1))/12),8*Assumptions!K$222)*Assumptions!$C$68+MIN(((Assumptions!$D$93*IF(Assumptions!K$206=2027,1+Assumptions!$F$193,1))/12),4*Assumptions!K$222)*Assumptions!$C$69,0))</f>
        <v>1397.34816666667</v>
      </c>
      <c r="L124" s="65" t="n">
        <f aca="false">L14*(MIN(((Assumptions!$D$93*IF(Assumptions!L$206=2027,1+Assumptions!$F$193,1))/12),Assumptions!L$222)*(Assumptions!$C$64+Assumptions!$C$65)+MAX(0,MIN(((Assumptions!$D$93*IF(Assumptions!L$206=2027,1+Assumptions!$F$193,1))/12),8*Assumptions!L$222)-Assumptions!L$222)*(Assumptions!$C$66+Assumptions!$C$67)+IF(((Assumptions!$D$93*IF(Assumptions!L$206=2027,1+Assumptions!$F$193,1))/12)&gt;Assumptions!L$222,MIN(((Assumptions!$D$93*IF(Assumptions!L$206=2027,1+Assumptions!$F$193,1))/12),8*Assumptions!L$222)*Assumptions!$C$68+MIN(((Assumptions!$D$93*IF(Assumptions!L$206=2027,1+Assumptions!$F$193,1))/12),4*Assumptions!L$222)*Assumptions!$C$69,0))</f>
        <v>1397.34816666667</v>
      </c>
      <c r="M124" s="65" t="n">
        <f aca="false">M14*(MIN(((Assumptions!$D$93*IF(Assumptions!M$206=2027,1+Assumptions!$F$193,1))/12),Assumptions!M$222)*(Assumptions!$C$64+Assumptions!$C$65)+MAX(0,MIN(((Assumptions!$D$93*IF(Assumptions!M$206=2027,1+Assumptions!$F$193,1))/12),8*Assumptions!M$222)-Assumptions!M$222)*(Assumptions!$C$66+Assumptions!$C$67)+IF(((Assumptions!$D$93*IF(Assumptions!M$206=2027,1+Assumptions!$F$193,1))/12)&gt;Assumptions!M$222,MIN(((Assumptions!$D$93*IF(Assumptions!M$206=2027,1+Assumptions!$F$193,1))/12),8*Assumptions!M$222)*Assumptions!$C$68+MIN(((Assumptions!$D$93*IF(Assumptions!M$206=2027,1+Assumptions!$F$193,1))/12),4*Assumptions!M$222)*Assumptions!$C$69,0))</f>
        <v>1379.88131458333</v>
      </c>
      <c r="N124" s="65" t="n">
        <f aca="false">N14*(MIN(((Assumptions!$D$93*IF(Assumptions!N$206=2027,1+Assumptions!$F$193,1))/12),Assumptions!N$222)*(Assumptions!$C$64+Assumptions!$C$65)+MAX(0,MIN(((Assumptions!$D$93*IF(Assumptions!N$206=2027,1+Assumptions!$F$193,1))/12),8*Assumptions!N$222)-Assumptions!N$222)*(Assumptions!$C$66+Assumptions!$C$67)+IF(((Assumptions!$D$93*IF(Assumptions!N$206=2027,1+Assumptions!$F$193,1))/12)&gt;Assumptions!N$222,MIN(((Assumptions!$D$93*IF(Assumptions!N$206=2027,1+Assumptions!$F$193,1))/12),8*Assumptions!N$222)*Assumptions!$C$68+MIN(((Assumptions!$D$93*IF(Assumptions!N$206=2027,1+Assumptions!$F$193,1))/12),4*Assumptions!N$222)*Assumptions!$C$69,0))</f>
        <v>1562.25396481771</v>
      </c>
      <c r="O124" s="65" t="n">
        <f aca="false">O14*(MIN(((Assumptions!$D$93*IF(Assumptions!O$206=2027,1+Assumptions!$F$193,1))/12),Assumptions!O$222)*(Assumptions!$C$64+Assumptions!$C$65)+MAX(0,MIN(((Assumptions!$D$93*IF(Assumptions!O$206=2027,1+Assumptions!$F$193,1))/12),8*Assumptions!O$222)-Assumptions!O$222)*(Assumptions!$C$66+Assumptions!$C$67)+IF(((Assumptions!$D$93*IF(Assumptions!O$206=2027,1+Assumptions!$F$193,1))/12)&gt;Assumptions!O$222,MIN(((Assumptions!$D$93*IF(Assumptions!O$206=2027,1+Assumptions!$F$193,1))/12),8*Assumptions!O$222)*Assumptions!$C$68+MIN(((Assumptions!$D$93*IF(Assumptions!O$206=2027,1+Assumptions!$F$193,1))/12),4*Assumptions!O$222)*Assumptions!$C$69,0))</f>
        <v>1560.19264234082</v>
      </c>
      <c r="P124" s="65" t="n">
        <f aca="false">P14*(MIN(((Assumptions!$D$93*IF(Assumptions!P$206=2027,1+Assumptions!$F$193,1))/12),Assumptions!P$222)*(Assumptions!$C$64+Assumptions!$C$65)+MAX(0,MIN(((Assumptions!$D$93*IF(Assumptions!P$206=2027,1+Assumptions!$F$193,1))/12),8*Assumptions!P$222)-Assumptions!P$222)*(Assumptions!$C$66+Assumptions!$C$67)+IF(((Assumptions!$D$93*IF(Assumptions!P$206=2027,1+Assumptions!$F$193,1))/12)&gt;Assumptions!P$222,MIN(((Assumptions!$D$93*IF(Assumptions!P$206=2027,1+Assumptions!$F$193,1))/12),8*Assumptions!P$222)*Assumptions!$C$68+MIN(((Assumptions!$D$93*IF(Assumptions!P$206=2027,1+Assumptions!$F$193,1))/12),4*Assumptions!P$222)*Assumptions!$C$69,0))</f>
        <v>1557.93875074385</v>
      </c>
      <c r="Q124" s="65" t="n">
        <f aca="false">Q14*(MIN(((Assumptions!$D$93*IF(Assumptions!Q$206=2027,1+Assumptions!$F$193,1))/12),Assumptions!Q$222)*(Assumptions!$C$64+Assumptions!$C$65)+MAX(0,MIN(((Assumptions!$D$93*IF(Assumptions!Q$206=2027,1+Assumptions!$F$193,1))/12),8*Assumptions!Q$222)-Assumptions!Q$222)*(Assumptions!$C$66+Assumptions!$C$67)+IF(((Assumptions!$D$93*IF(Assumptions!Q$206=2027,1+Assumptions!$F$193,1))/12)&gt;Assumptions!Q$222,MIN(((Assumptions!$D$93*IF(Assumptions!Q$206=2027,1+Assumptions!$F$193,1))/12),8*Assumptions!Q$222)*Assumptions!$C$68+MIN(((Assumptions!$D$93*IF(Assumptions!Q$206=2027,1+Assumptions!$F$193,1))/12),4*Assumptions!Q$222)*Assumptions!$C$69,0))</f>
        <v>1622.62536132987</v>
      </c>
      <c r="R124" s="65" t="n">
        <f aca="false">R14*(MIN(((Assumptions!$D$93*IF(Assumptions!R$206=2027,1+Assumptions!$F$193,1))/12),Assumptions!R$222)*(Assumptions!$C$64+Assumptions!$C$65)+MAX(0,MIN(((Assumptions!$D$93*IF(Assumptions!R$206=2027,1+Assumptions!$F$193,1))/12),8*Assumptions!R$222)-Assumptions!R$222)*(Assumptions!$C$66+Assumptions!$C$67)+IF(((Assumptions!$D$93*IF(Assumptions!R$206=2027,1+Assumptions!$F$193,1))/12)&gt;Assumptions!R$222,MIN(((Assumptions!$D$93*IF(Assumptions!R$206=2027,1+Assumptions!$F$193,1))/12),8*Assumptions!R$222)*Assumptions!$C$68+MIN(((Assumptions!$D$93*IF(Assumptions!R$206=2027,1+Assumptions!$F$193,1))/12),4*Assumptions!R$222)*Assumptions!$C$69,0))</f>
        <v>1622.65400152335</v>
      </c>
      <c r="S124" s="65" t="n">
        <f aca="false">S14*(MIN(((Assumptions!$D$93*IF(Assumptions!S$206=2027,1+Assumptions!$F$193,1))/12),Assumptions!S$222)*(Assumptions!$C$64+Assumptions!$C$65)+MAX(0,MIN(((Assumptions!$D$93*IF(Assumptions!S$206=2027,1+Assumptions!$F$193,1))/12),8*Assumptions!S$222)-Assumptions!S$222)*(Assumptions!$C$66+Assumptions!$C$67)+IF(((Assumptions!$D$93*IF(Assumptions!S$206=2027,1+Assumptions!$F$193,1))/12)&gt;Assumptions!S$222,MIN(((Assumptions!$D$93*IF(Assumptions!S$206=2027,1+Assumptions!$F$193,1))/12),8*Assumptions!S$222)*Assumptions!$C$68+MIN(((Assumptions!$D$93*IF(Assumptions!S$206=2027,1+Assumptions!$F$193,1))/12),4*Assumptions!S$222)*Assumptions!$C$69,0))</f>
        <v>1622.65294129767</v>
      </c>
      <c r="T124" s="65" t="n">
        <f aca="false">T14*(MIN(((Assumptions!$D$93*IF(Assumptions!T$206=2027,1+Assumptions!$F$193,1))/12),Assumptions!T$222)*(Assumptions!$C$64+Assumptions!$C$65)+MAX(0,MIN(((Assumptions!$D$93*IF(Assumptions!T$206=2027,1+Assumptions!$F$193,1))/12),8*Assumptions!T$222)-Assumptions!T$222)*(Assumptions!$C$66+Assumptions!$C$67)+IF(((Assumptions!$D$93*IF(Assumptions!T$206=2027,1+Assumptions!$F$193,1))/12)&gt;Assumptions!T$222,MIN(((Assumptions!$D$93*IF(Assumptions!T$206=2027,1+Assumptions!$F$193,1))/12),8*Assumptions!T$222)*Assumptions!$C$68+MIN(((Assumptions!$D$93*IF(Assumptions!T$206=2027,1+Assumptions!$F$193,1))/12),4*Assumptions!T$222)*Assumptions!$C$69,0))</f>
        <v>1830.55496321474</v>
      </c>
      <c r="U124" s="65" t="n">
        <f aca="false">U14*(MIN(((Assumptions!$D$93*IF(Assumptions!U$206=2027,1+Assumptions!$F$193,1))/12),Assumptions!U$222)*(Assumptions!$C$64+Assumptions!$C$65)+MAX(0,MIN(((Assumptions!$D$93*IF(Assumptions!U$206=2027,1+Assumptions!$F$193,1))/12),8*Assumptions!U$222)-Assumptions!U$222)*(Assumptions!$C$66+Assumptions!$C$67)+IF(((Assumptions!$D$93*IF(Assumptions!U$206=2027,1+Assumptions!$F$193,1))/12)&gt;Assumptions!U$222,MIN(((Assumptions!$D$93*IF(Assumptions!U$206=2027,1+Assumptions!$F$193,1))/12),8*Assumptions!U$222)*Assumptions!$C$68+MIN(((Assumptions!$D$93*IF(Assumptions!U$206=2027,1+Assumptions!$F$193,1))/12),4*Assumptions!U$222)*Assumptions!$C$69,0))</f>
        <v>1827.95620119359</v>
      </c>
      <c r="V124" s="65" t="n">
        <f aca="false">V14*(MIN(((Assumptions!$D$93*IF(Assumptions!V$206=2027,1+Assumptions!$F$193,1))/12),Assumptions!V$222)*(Assumptions!$C$64+Assumptions!$C$65)+MAX(0,MIN(((Assumptions!$D$93*IF(Assumptions!V$206=2027,1+Assumptions!$F$193,1))/12),8*Assumptions!V$222)-Assumptions!V$222)*(Assumptions!$C$66+Assumptions!$C$67)+IF(((Assumptions!$D$93*IF(Assumptions!V$206=2027,1+Assumptions!$F$193,1))/12)&gt;Assumptions!V$222,MIN(((Assumptions!$D$93*IF(Assumptions!V$206=2027,1+Assumptions!$F$193,1))/12),8*Assumptions!V$222)*Assumptions!$C$68+MIN(((Assumptions!$D$93*IF(Assumptions!V$206=2027,1+Assumptions!$F$193,1))/12),4*Assumptions!V$222)*Assumptions!$C$69,0))</f>
        <v>1825.3899104449</v>
      </c>
      <c r="W124" s="65" t="n">
        <f aca="false">W14*(MIN(((Assumptions!$D$93*IF(Assumptions!W$206=2027,1+Assumptions!$F$193,1))/12),Assumptions!W$222)*(Assumptions!$C$64+Assumptions!$C$65)+MAX(0,MIN(((Assumptions!$D$93*IF(Assumptions!W$206=2027,1+Assumptions!$F$193,1))/12),8*Assumptions!W$222)-Assumptions!W$222)*(Assumptions!$C$66+Assumptions!$C$67)+IF(((Assumptions!$D$93*IF(Assumptions!W$206=2027,1+Assumptions!$F$193,1))/12)&gt;Assumptions!W$222,MIN(((Assumptions!$D$93*IF(Assumptions!W$206=2027,1+Assumptions!$F$193,1))/12),8*Assumptions!W$222)*Assumptions!$C$68+MIN(((Assumptions!$D$93*IF(Assumptions!W$206=2027,1+Assumptions!$F$193,1))/12),4*Assumptions!W$222)*Assumptions!$C$69,0))</f>
        <v>1825.45447360452</v>
      </c>
      <c r="X124" s="65" t="n">
        <f aca="false">X14*(MIN(((Assumptions!$D$93*IF(Assumptions!X$206=2027,1+Assumptions!$F$193,1))/12),Assumptions!X$222)*(Assumptions!$C$64+Assumptions!$C$65)+MAX(0,MIN(((Assumptions!$D$93*IF(Assumptions!X$206=2027,1+Assumptions!$F$193,1))/12),8*Assumptions!X$222)-Assumptions!X$222)*(Assumptions!$C$66+Assumptions!$C$67)+IF(((Assumptions!$D$93*IF(Assumptions!X$206=2027,1+Assumptions!$F$193,1))/12)&gt;Assumptions!X$222,MIN(((Assumptions!$D$93*IF(Assumptions!X$206=2027,1+Assumptions!$F$193,1))/12),8*Assumptions!X$222)*Assumptions!$C$68+MIN(((Assumptions!$D$93*IF(Assumptions!X$206=2027,1+Assumptions!$F$193,1))/12),4*Assumptions!X$222)*Assumptions!$C$69,0))</f>
        <v>1825.48574519938</v>
      </c>
      <c r="Y124" s="65" t="n">
        <f aca="false">Y14*(MIN(((Assumptions!$D$93*IF(Assumptions!Y$206=2027,1+Assumptions!$F$193,1))/12),Assumptions!Y$222)*(Assumptions!$C$64+Assumptions!$C$65)+MAX(0,MIN(((Assumptions!$D$93*IF(Assumptions!Y$206=2027,1+Assumptions!$F$193,1))/12),8*Assumptions!Y$222)-Assumptions!Y$222)*(Assumptions!$C$66+Assumptions!$C$67)+IF(((Assumptions!$D$93*IF(Assumptions!Y$206=2027,1+Assumptions!$F$193,1))/12)&gt;Assumptions!Y$222,MIN(((Assumptions!$D$93*IF(Assumptions!Y$206=2027,1+Assumptions!$F$193,1))/12),8*Assumptions!Y$222)*Assumptions!$C$68+MIN(((Assumptions!$D$93*IF(Assumptions!Y$206=2027,1+Assumptions!$F$193,1))/12),4*Assumptions!Y$222)*Assumptions!$C$69,0))</f>
        <v>1825.48454726495</v>
      </c>
      <c r="Z124" s="65" t="n">
        <f aca="false">Z14*(MIN(((Assumptions!$D$93*IF(Assumptions!Z$206=2027,1+Assumptions!$F$193,1))/12),Assumptions!Z$222)*(Assumptions!$C$64+Assumptions!$C$65)+MAX(0,MIN(((Assumptions!$D$93*IF(Assumptions!Z$206=2027,1+Assumptions!$F$193,1))/12),8*Assumptions!Z$222)-Assumptions!Z$222)*(Assumptions!$C$66+Assumptions!$C$67)+IF(((Assumptions!$D$93*IF(Assumptions!Z$206=2027,1+Assumptions!$F$193,1))/12)&gt;Assumptions!Z$222,MIN(((Assumptions!$D$93*IF(Assumptions!Z$206=2027,1+Assumptions!$F$193,1))/12),8*Assumptions!Z$222)*Assumptions!$C$68+MIN(((Assumptions!$D$93*IF(Assumptions!Z$206=2027,1+Assumptions!$F$193,1))/12),4*Assumptions!Z$222)*Assumptions!$C$69,0))</f>
        <v>1825.4841713442</v>
      </c>
      <c r="AA124" s="65" t="n">
        <f aca="false">AA14*(MIN(((Assumptions!$D$93*IF(Assumptions!AA$206=2027,1+Assumptions!$F$193,1))/12),Assumptions!AA$222)*(Assumptions!$C$64+Assumptions!$C$65)+MAX(0,MIN(((Assumptions!$D$93*IF(Assumptions!AA$206=2027,1+Assumptions!$F$193,1))/12),8*Assumptions!AA$222)-Assumptions!AA$222)*(Assumptions!$C$66+Assumptions!$C$67)+IF(((Assumptions!$D$93*IF(Assumptions!AA$206=2027,1+Assumptions!$F$193,1))/12)&gt;Assumptions!AA$222,MIN(((Assumptions!$D$93*IF(Assumptions!AA$206=2027,1+Assumptions!$F$193,1))/12),8*Assumptions!AA$222)*Assumptions!$C$68+MIN(((Assumptions!$D$93*IF(Assumptions!AA$206=2027,1+Assumptions!$F$193,1))/12),4*Assumptions!AA$222)*Assumptions!$C$69,0))</f>
        <v>1825.48419101739</v>
      </c>
      <c r="AB124" s="65" t="n">
        <f aca="false">AB14*(MIN(((Assumptions!$D$93*IF(Assumptions!AB$206=2027,1+Assumptions!$F$193,1))/12),Assumptions!AB$222)*(Assumptions!$C$64+Assumptions!$C$65)+MAX(0,MIN(((Assumptions!$D$93*IF(Assumptions!AB$206=2027,1+Assumptions!$F$193,1))/12),8*Assumptions!AB$222)-Assumptions!AB$222)*(Assumptions!$C$66+Assumptions!$C$67)+IF(((Assumptions!$D$93*IF(Assumptions!AB$206=2027,1+Assumptions!$F$193,1))/12)&gt;Assumptions!AB$222,MIN(((Assumptions!$D$93*IF(Assumptions!AB$206=2027,1+Assumptions!$F$193,1))/12),8*Assumptions!AB$222)*Assumptions!$C$68+MIN(((Assumptions!$D$93*IF(Assumptions!AB$206=2027,1+Assumptions!$F$193,1))/12),4*Assumptions!AB$222)*Assumptions!$C$69,0))</f>
        <v>1825.48419547048</v>
      </c>
    </row>
    <row r="125" customFormat="false" ht="15" hidden="false" customHeight="false" outlineLevel="0" collapsed="false">
      <c r="A125" s="28" t="s">
        <v>1211</v>
      </c>
      <c r="B125" s="62"/>
      <c r="C125" s="64" t="n">
        <f aca="false">SUM(E125:P125)</f>
        <v>12923.4924610801</v>
      </c>
      <c r="D125" s="64" t="n">
        <f aca="false">SUM(Q125:AB125)</f>
        <v>16996.238874531</v>
      </c>
      <c r="E125" s="65" t="n">
        <f aca="false">E15*(MIN(((Assumptions!$D$94*IF(Assumptions!E$206=2027,1+Assumptions!$F$193,1))/12),Assumptions!E$222)*(Assumptions!$C$64+Assumptions!$C$65)+MAX(0,MIN(((Assumptions!$D$94*IF(Assumptions!E$206=2027,1+Assumptions!$F$193,1))/12),8*Assumptions!E$222)-Assumptions!E$222)*(Assumptions!$C$66+Assumptions!$C$67)+IF(((Assumptions!$D$94*IF(Assumptions!E$206=2027,1+Assumptions!$F$193,1))/12)&gt;Assumptions!E$222,MIN(((Assumptions!$D$94*IF(Assumptions!E$206=2027,1+Assumptions!$F$193,1))/12),8*Assumptions!E$222)*Assumptions!$C$68+MIN(((Assumptions!$D$94*IF(Assumptions!E$206=2027,1+Assumptions!$F$193,1))/12),4*Assumptions!E$222)*Assumptions!$C$69,0))</f>
        <v>930.271333333334</v>
      </c>
      <c r="F125" s="65" t="n">
        <f aca="false">F15*(MIN(((Assumptions!$D$94*IF(Assumptions!F$206=2027,1+Assumptions!$F$193,1))/12),Assumptions!F$222)*(Assumptions!$C$64+Assumptions!$C$65)+MAX(0,MIN(((Assumptions!$D$94*IF(Assumptions!F$206=2027,1+Assumptions!$F$193,1))/12),8*Assumptions!F$222)-Assumptions!F$222)*(Assumptions!$C$66+Assumptions!$C$67)+IF(((Assumptions!$D$94*IF(Assumptions!F$206=2027,1+Assumptions!$F$193,1))/12)&gt;Assumptions!F$222,MIN(((Assumptions!$D$94*IF(Assumptions!F$206=2027,1+Assumptions!$F$193,1))/12),8*Assumptions!F$222)*Assumptions!$C$68+MIN(((Assumptions!$D$94*IF(Assumptions!F$206=2027,1+Assumptions!$F$193,1))/12),4*Assumptions!F$222)*Assumptions!$C$69,0))</f>
        <v>930.271333333334</v>
      </c>
      <c r="G125" s="65" t="n">
        <f aca="false">G15*(MIN(((Assumptions!$D$94*IF(Assumptions!G$206=2027,1+Assumptions!$F$193,1))/12),Assumptions!G$222)*(Assumptions!$C$64+Assumptions!$C$65)+MAX(0,MIN(((Assumptions!$D$94*IF(Assumptions!G$206=2027,1+Assumptions!$F$193,1))/12),8*Assumptions!G$222)-Assumptions!G$222)*(Assumptions!$C$66+Assumptions!$C$67)+IF(((Assumptions!$D$94*IF(Assumptions!G$206=2027,1+Assumptions!$F$193,1))/12)&gt;Assumptions!G$222,MIN(((Assumptions!$D$94*IF(Assumptions!G$206=2027,1+Assumptions!$F$193,1))/12),8*Assumptions!G$222)*Assumptions!$C$68+MIN(((Assumptions!$D$94*IF(Assumptions!G$206=2027,1+Assumptions!$F$193,1))/12),4*Assumptions!G$222)*Assumptions!$C$69,0))</f>
        <v>930.271333333334</v>
      </c>
      <c r="H125" s="65" t="n">
        <f aca="false">H15*(MIN(((Assumptions!$D$94*IF(Assumptions!H$206=2027,1+Assumptions!$F$193,1))/12),Assumptions!H$222)*(Assumptions!$C$64+Assumptions!$C$65)+MAX(0,MIN(((Assumptions!$D$94*IF(Assumptions!H$206=2027,1+Assumptions!$F$193,1))/12),8*Assumptions!H$222)-Assumptions!H$222)*(Assumptions!$C$66+Assumptions!$C$67)+IF(((Assumptions!$D$94*IF(Assumptions!H$206=2027,1+Assumptions!$F$193,1))/12)&gt;Assumptions!H$222,MIN(((Assumptions!$D$94*IF(Assumptions!H$206=2027,1+Assumptions!$F$193,1))/12),8*Assumptions!H$222)*Assumptions!$C$68+MIN(((Assumptions!$D$94*IF(Assumptions!H$206=2027,1+Assumptions!$F$193,1))/12),4*Assumptions!H$222)*Assumptions!$C$69,0))</f>
        <v>930.271333333334</v>
      </c>
      <c r="I125" s="65" t="n">
        <f aca="false">I15*(MIN(((Assumptions!$D$94*IF(Assumptions!I$206=2027,1+Assumptions!$F$193,1))/12),Assumptions!I$222)*(Assumptions!$C$64+Assumptions!$C$65)+MAX(0,MIN(((Assumptions!$D$94*IF(Assumptions!I$206=2027,1+Assumptions!$F$193,1))/12),8*Assumptions!I$222)-Assumptions!I$222)*(Assumptions!$C$66+Assumptions!$C$67)+IF(((Assumptions!$D$94*IF(Assumptions!I$206=2027,1+Assumptions!$F$193,1))/12)&gt;Assumptions!I$222,MIN(((Assumptions!$D$94*IF(Assumptions!I$206=2027,1+Assumptions!$F$193,1))/12),8*Assumptions!I$222)*Assumptions!$C$68+MIN(((Assumptions!$D$94*IF(Assumptions!I$206=2027,1+Assumptions!$F$193,1))/12),4*Assumptions!I$222)*Assumptions!$C$69,0))</f>
        <v>1162.83916666667</v>
      </c>
      <c r="J125" s="65" t="n">
        <f aca="false">J15*(MIN(((Assumptions!$D$94*IF(Assumptions!J$206=2027,1+Assumptions!$F$193,1))/12),Assumptions!J$222)*(Assumptions!$C$64+Assumptions!$C$65)+MAX(0,MIN(((Assumptions!$D$94*IF(Assumptions!J$206=2027,1+Assumptions!$F$193,1))/12),8*Assumptions!J$222)-Assumptions!J$222)*(Assumptions!$C$66+Assumptions!$C$67)+IF(((Assumptions!$D$94*IF(Assumptions!J$206=2027,1+Assumptions!$F$193,1))/12)&gt;Assumptions!J$222,MIN(((Assumptions!$D$94*IF(Assumptions!J$206=2027,1+Assumptions!$F$193,1))/12),8*Assumptions!J$222)*Assumptions!$C$68+MIN(((Assumptions!$D$94*IF(Assumptions!J$206=2027,1+Assumptions!$F$193,1))/12),4*Assumptions!J$222)*Assumptions!$C$69,0))</f>
        <v>1162.83916666667</v>
      </c>
      <c r="K125" s="65" t="n">
        <f aca="false">K15*(MIN(((Assumptions!$D$94*IF(Assumptions!K$206=2027,1+Assumptions!$F$193,1))/12),Assumptions!K$222)*(Assumptions!$C$64+Assumptions!$C$65)+MAX(0,MIN(((Assumptions!$D$94*IF(Assumptions!K$206=2027,1+Assumptions!$F$193,1))/12),8*Assumptions!K$222)-Assumptions!K$222)*(Assumptions!$C$66+Assumptions!$C$67)+IF(((Assumptions!$D$94*IF(Assumptions!K$206=2027,1+Assumptions!$F$193,1))/12)&gt;Assumptions!K$222,MIN(((Assumptions!$D$94*IF(Assumptions!K$206=2027,1+Assumptions!$F$193,1))/12),8*Assumptions!K$222)*Assumptions!$C$68+MIN(((Assumptions!$D$94*IF(Assumptions!K$206=2027,1+Assumptions!$F$193,1))/12),4*Assumptions!K$222)*Assumptions!$C$69,0))</f>
        <v>1162.83916666667</v>
      </c>
      <c r="L125" s="65" t="n">
        <f aca="false">L15*(MIN(((Assumptions!$D$94*IF(Assumptions!L$206=2027,1+Assumptions!$F$193,1))/12),Assumptions!L$222)*(Assumptions!$C$64+Assumptions!$C$65)+MAX(0,MIN(((Assumptions!$D$94*IF(Assumptions!L$206=2027,1+Assumptions!$F$193,1))/12),8*Assumptions!L$222)-Assumptions!L$222)*(Assumptions!$C$66+Assumptions!$C$67)+IF(((Assumptions!$D$94*IF(Assumptions!L$206=2027,1+Assumptions!$F$193,1))/12)&gt;Assumptions!L$222,MIN(((Assumptions!$D$94*IF(Assumptions!L$206=2027,1+Assumptions!$F$193,1))/12),8*Assumptions!L$222)*Assumptions!$C$68+MIN(((Assumptions!$D$94*IF(Assumptions!L$206=2027,1+Assumptions!$F$193,1))/12),4*Assumptions!L$222)*Assumptions!$C$69,0))</f>
        <v>1162.83916666667</v>
      </c>
      <c r="M125" s="65" t="n">
        <f aca="false">M15*(MIN(((Assumptions!$D$94*IF(Assumptions!M$206=2027,1+Assumptions!$F$193,1))/12),Assumptions!M$222)*(Assumptions!$C$64+Assumptions!$C$65)+MAX(0,MIN(((Assumptions!$D$94*IF(Assumptions!M$206=2027,1+Assumptions!$F$193,1))/12),8*Assumptions!M$222)-Assumptions!M$222)*(Assumptions!$C$66+Assumptions!$C$67)+IF(((Assumptions!$D$94*IF(Assumptions!M$206=2027,1+Assumptions!$F$193,1))/12)&gt;Assumptions!M$222,MIN(((Assumptions!$D$94*IF(Assumptions!M$206=2027,1+Assumptions!$F$193,1))/12),8*Assumptions!M$222)*Assumptions!$C$68+MIN(((Assumptions!$D$94*IF(Assumptions!M$206=2027,1+Assumptions!$F$193,1))/12),4*Assumptions!M$222)*Assumptions!$C$69,0))</f>
        <v>1148.30367708333</v>
      </c>
      <c r="N125" s="65" t="n">
        <f aca="false">N15*(MIN(((Assumptions!$D$94*IF(Assumptions!N$206=2027,1+Assumptions!$F$193,1))/12),Assumptions!N$222)*(Assumptions!$C$64+Assumptions!$C$65)+MAX(0,MIN(((Assumptions!$D$94*IF(Assumptions!N$206=2027,1+Assumptions!$F$193,1))/12),8*Assumptions!N$222)-Assumptions!N$222)*(Assumptions!$C$66+Assumptions!$C$67)+IF(((Assumptions!$D$94*IF(Assumptions!N$206=2027,1+Assumptions!$F$193,1))/12)&gt;Assumptions!N$222,MIN(((Assumptions!$D$94*IF(Assumptions!N$206=2027,1+Assumptions!$F$193,1))/12),8*Assumptions!N$222)*Assumptions!$C$68+MIN(((Assumptions!$D$94*IF(Assumptions!N$206=2027,1+Assumptions!$F$193,1))/12),4*Assumptions!N$222)*Assumptions!$C$69,0))</f>
        <v>1133.94988111979</v>
      </c>
      <c r="O125" s="65" t="n">
        <f aca="false">O15*(MIN(((Assumptions!$D$94*IF(Assumptions!O$206=2027,1+Assumptions!$F$193,1))/12),Assumptions!O$222)*(Assumptions!$C$64+Assumptions!$C$65)+MAX(0,MIN(((Assumptions!$D$94*IF(Assumptions!O$206=2027,1+Assumptions!$F$193,1))/12),8*Assumptions!O$222)-Assumptions!O$222)*(Assumptions!$C$66+Assumptions!$C$67)+IF(((Assumptions!$D$94*IF(Assumptions!O$206=2027,1+Assumptions!$F$193,1))/12)&gt;Assumptions!O$222,MIN(((Assumptions!$D$94*IF(Assumptions!O$206=2027,1+Assumptions!$F$193,1))/12),8*Assumptions!O$222)*Assumptions!$C$68+MIN(((Assumptions!$D$94*IF(Assumptions!O$206=2027,1+Assumptions!$F$193,1))/12),4*Assumptions!O$222)*Assumptions!$C$69,0))</f>
        <v>1134.31099718913</v>
      </c>
      <c r="P125" s="65" t="n">
        <f aca="false">P15*(MIN(((Assumptions!$D$94*IF(Assumptions!P$206=2027,1+Assumptions!$F$193,1))/12),Assumptions!P$222)*(Assumptions!$C$64+Assumptions!$C$65)+MAX(0,MIN(((Assumptions!$D$94*IF(Assumptions!P$206=2027,1+Assumptions!$F$193,1))/12),8*Assumptions!P$222)-Assumptions!P$222)*(Assumptions!$C$66+Assumptions!$C$67)+IF(((Assumptions!$D$94*IF(Assumptions!P$206=2027,1+Assumptions!$F$193,1))/12)&gt;Assumptions!P$222,MIN(((Assumptions!$D$94*IF(Assumptions!P$206=2027,1+Assumptions!$F$193,1))/12),8*Assumptions!P$222)*Assumptions!$C$68+MIN(((Assumptions!$D$94*IF(Assumptions!P$206=2027,1+Assumptions!$F$193,1))/12),4*Assumptions!P$222)*Assumptions!$C$69,0))</f>
        <v>1134.48590568781</v>
      </c>
      <c r="Q125" s="65" t="n">
        <f aca="false">Q15*(MIN(((Assumptions!$D$94*IF(Assumptions!Q$206=2027,1+Assumptions!$F$193,1))/12),Assumptions!Q$222)*(Assumptions!$C$64+Assumptions!$C$65)+MAX(0,MIN(((Assumptions!$D$94*IF(Assumptions!Q$206=2027,1+Assumptions!$F$193,1))/12),8*Assumptions!Q$222)-Assumptions!Q$222)*(Assumptions!$C$66+Assumptions!$C$67)+IF(((Assumptions!$D$94*IF(Assumptions!Q$206=2027,1+Assumptions!$F$193,1))/12)&gt;Assumptions!Q$222,MIN(((Assumptions!$D$94*IF(Assumptions!Q$206=2027,1+Assumptions!$F$193,1))/12),8*Assumptions!Q$222)*Assumptions!$C$68+MIN(((Assumptions!$D$94*IF(Assumptions!Q$206=2027,1+Assumptions!$F$193,1))/12),4*Assumptions!Q$222)*Assumptions!$C$69,0))</f>
        <v>1421.53427819355</v>
      </c>
      <c r="R125" s="65" t="n">
        <f aca="false">R15*(MIN(((Assumptions!$D$94*IF(Assumptions!R$206=2027,1+Assumptions!$F$193,1))/12),Assumptions!R$222)*(Assumptions!$C$64+Assumptions!$C$65)+MAX(0,MIN(((Assumptions!$D$94*IF(Assumptions!R$206=2027,1+Assumptions!$F$193,1))/12),8*Assumptions!R$222)-Assumptions!R$222)*(Assumptions!$C$66+Assumptions!$C$67)+IF(((Assumptions!$D$94*IF(Assumptions!R$206=2027,1+Assumptions!$F$193,1))/12)&gt;Assumptions!R$222,MIN(((Assumptions!$D$94*IF(Assumptions!R$206=2027,1+Assumptions!$F$193,1))/12),8*Assumptions!R$222)*Assumptions!$C$68+MIN(((Assumptions!$D$94*IF(Assumptions!R$206=2027,1+Assumptions!$F$193,1))/12),4*Assumptions!R$222)*Assumptions!$C$69,0))</f>
        <v>1418.50912386976</v>
      </c>
      <c r="S125" s="65" t="n">
        <f aca="false">S15*(MIN(((Assumptions!$D$94*IF(Assumptions!S$206=2027,1+Assumptions!$F$193,1))/12),Assumptions!S$222)*(Assumptions!$C$64+Assumptions!$C$65)+MAX(0,MIN(((Assumptions!$D$94*IF(Assumptions!S$206=2027,1+Assumptions!$F$193,1))/12),8*Assumptions!S$222)-Assumptions!S$222)*(Assumptions!$C$66+Assumptions!$C$67)+IF(((Assumptions!$D$94*IF(Assumptions!S$206=2027,1+Assumptions!$F$193,1))/12)&gt;Assumptions!S$222,MIN(((Assumptions!$D$94*IF(Assumptions!S$206=2027,1+Assumptions!$F$193,1))/12),8*Assumptions!S$222)*Assumptions!$C$68+MIN(((Assumptions!$D$94*IF(Assumptions!S$206=2027,1+Assumptions!$F$193,1))/12),4*Assumptions!S$222)*Assumptions!$C$69,0))</f>
        <v>1415.52405747421</v>
      </c>
      <c r="T125" s="65" t="n">
        <f aca="false">T15*(MIN(((Assumptions!$D$94*IF(Assumptions!T$206=2027,1+Assumptions!$F$193,1))/12),Assumptions!T$222)*(Assumptions!$C$64+Assumptions!$C$65)+MAX(0,MIN(((Assumptions!$D$94*IF(Assumptions!T$206=2027,1+Assumptions!$F$193,1))/12),8*Assumptions!T$222)-Assumptions!T$222)*(Assumptions!$C$66+Assumptions!$C$67)+IF(((Assumptions!$D$94*IF(Assumptions!T$206=2027,1+Assumptions!$F$193,1))/12)&gt;Assumptions!T$222,MIN(((Assumptions!$D$94*IF(Assumptions!T$206=2027,1+Assumptions!$F$193,1))/12),8*Assumptions!T$222)*Assumptions!$C$68+MIN(((Assumptions!$D$94*IF(Assumptions!T$206=2027,1+Assumptions!$F$193,1))/12),4*Assumptions!T$222)*Assumptions!$C$69,0))</f>
        <v>1415.5991852332</v>
      </c>
      <c r="U125" s="65" t="n">
        <f aca="false">U15*(MIN(((Assumptions!$D$94*IF(Assumptions!U$206=2027,1+Assumptions!$F$193,1))/12),Assumptions!U$222)*(Assumptions!$C$64+Assumptions!$C$65)+MAX(0,MIN(((Assumptions!$D$94*IF(Assumptions!U$206=2027,1+Assumptions!$F$193,1))/12),8*Assumptions!U$222)-Assumptions!U$222)*(Assumptions!$C$66+Assumptions!$C$67)+IF(((Assumptions!$D$94*IF(Assumptions!U$206=2027,1+Assumptions!$F$193,1))/12)&gt;Assumptions!U$222,MIN(((Assumptions!$D$94*IF(Assumptions!U$206=2027,1+Assumptions!$F$193,1))/12),8*Assumptions!U$222)*Assumptions!$C$68+MIN(((Assumptions!$D$94*IF(Assumptions!U$206=2027,1+Assumptions!$F$193,1))/12),4*Assumptions!U$222)*Assumptions!$C$69,0))</f>
        <v>1415.63555946616</v>
      </c>
      <c r="V125" s="65" t="n">
        <f aca="false">V15*(MIN(((Assumptions!$D$94*IF(Assumptions!V$206=2027,1+Assumptions!$F$193,1))/12),Assumptions!V$222)*(Assumptions!$C$64+Assumptions!$C$65)+MAX(0,MIN(((Assumptions!$D$94*IF(Assumptions!V$206=2027,1+Assumptions!$F$193,1))/12),8*Assumptions!V$222)-Assumptions!V$222)*(Assumptions!$C$66+Assumptions!$C$67)+IF(((Assumptions!$D$94*IF(Assumptions!V$206=2027,1+Assumptions!$F$193,1))/12)&gt;Assumptions!V$222,MIN(((Assumptions!$D$94*IF(Assumptions!V$206=2027,1+Assumptions!$F$193,1))/12),8*Assumptions!V$222)*Assumptions!$C$68+MIN(((Assumptions!$D$94*IF(Assumptions!V$206=2027,1+Assumptions!$F$193,1))/12),4*Assumptions!V$222)*Assumptions!$C$69,0))</f>
        <v>1415.63416569126</v>
      </c>
      <c r="W125" s="65" t="n">
        <f aca="false">W15*(MIN(((Assumptions!$D$94*IF(Assumptions!W$206=2027,1+Assumptions!$F$193,1))/12),Assumptions!W$222)*(Assumptions!$C$64+Assumptions!$C$65)+MAX(0,MIN(((Assumptions!$D$94*IF(Assumptions!W$206=2027,1+Assumptions!$F$193,1))/12),8*Assumptions!W$222)-Assumptions!W$222)*(Assumptions!$C$66+Assumptions!$C$67)+IF(((Assumptions!$D$94*IF(Assumptions!W$206=2027,1+Assumptions!$F$193,1))/12)&gt;Assumptions!W$222,MIN(((Assumptions!$D$94*IF(Assumptions!W$206=2027,1+Assumptions!$F$193,1))/12),8*Assumptions!W$222)*Assumptions!$C$68+MIN(((Assumptions!$D$94*IF(Assumptions!W$206=2027,1+Assumptions!$F$193,1))/12),4*Assumptions!W$222)*Assumptions!$C$69,0))</f>
        <v>1415.63372843553</v>
      </c>
      <c r="X125" s="65" t="n">
        <f aca="false">X15*(MIN(((Assumptions!$D$94*IF(Assumptions!X$206=2027,1+Assumptions!$F$193,1))/12),Assumptions!X$222)*(Assumptions!$C$64+Assumptions!$C$65)+MAX(0,MIN(((Assumptions!$D$94*IF(Assumptions!X$206=2027,1+Assumptions!$F$193,1))/12),8*Assumptions!X$222)-Assumptions!X$222)*(Assumptions!$C$66+Assumptions!$C$67)+IF(((Assumptions!$D$94*IF(Assumptions!X$206=2027,1+Assumptions!$F$193,1))/12)&gt;Assumptions!X$222,MIN(((Assumptions!$D$94*IF(Assumptions!X$206=2027,1+Assumptions!$F$193,1))/12),8*Assumptions!X$222)*Assumptions!$C$68+MIN(((Assumptions!$D$94*IF(Assumptions!X$206=2027,1+Assumptions!$F$193,1))/12),4*Assumptions!X$222)*Assumptions!$C$69,0))</f>
        <v>1415.63375132342</v>
      </c>
      <c r="Y125" s="65" t="n">
        <f aca="false">Y15*(MIN(((Assumptions!$D$94*IF(Assumptions!Y$206=2027,1+Assumptions!$F$193,1))/12),Assumptions!Y$222)*(Assumptions!$C$64+Assumptions!$C$65)+MAX(0,MIN(((Assumptions!$D$94*IF(Assumptions!Y$206=2027,1+Assumptions!$F$193,1))/12),8*Assumptions!Y$222)-Assumptions!Y$222)*(Assumptions!$C$66+Assumptions!$C$67)+IF(((Assumptions!$D$94*IF(Assumptions!Y$206=2027,1+Assumptions!$F$193,1))/12)&gt;Assumptions!Y$222,MIN(((Assumptions!$D$94*IF(Assumptions!Y$206=2027,1+Assumptions!$F$193,1))/12),8*Assumptions!Y$222)*Assumptions!$C$68+MIN(((Assumptions!$D$94*IF(Assumptions!Y$206=2027,1+Assumptions!$F$193,1))/12),4*Assumptions!Y$222)*Assumptions!$C$69,0))</f>
        <v>1415.63375650301</v>
      </c>
      <c r="Z125" s="65" t="n">
        <f aca="false">Z15*(MIN(((Assumptions!$D$94*IF(Assumptions!Z$206=2027,1+Assumptions!$F$193,1))/12),Assumptions!Z$222)*(Assumptions!$C$64+Assumptions!$C$65)+MAX(0,MIN(((Assumptions!$D$94*IF(Assumptions!Z$206=2027,1+Assumptions!$F$193,1))/12),8*Assumptions!Z$222)-Assumptions!Z$222)*(Assumptions!$C$66+Assumptions!$C$67)+IF(((Assumptions!$D$94*IF(Assumptions!Z$206=2027,1+Assumptions!$F$193,1))/12)&gt;Assumptions!Z$222,MIN(((Assumptions!$D$94*IF(Assumptions!Z$206=2027,1+Assumptions!$F$193,1))/12),8*Assumptions!Z$222)*Assumptions!$C$68+MIN(((Assumptions!$D$94*IF(Assumptions!Z$206=2027,1+Assumptions!$F$193,1))/12),4*Assumptions!Z$222)*Assumptions!$C$69,0))</f>
        <v>1415.63375615217</v>
      </c>
      <c r="AA125" s="65" t="n">
        <f aca="false">AA15*(MIN(((Assumptions!$D$94*IF(Assumptions!AA$206=2027,1+Assumptions!$F$193,1))/12),Assumptions!AA$222)*(Assumptions!$C$64+Assumptions!$C$65)+MAX(0,MIN(((Assumptions!$D$94*IF(Assumptions!AA$206=2027,1+Assumptions!$F$193,1))/12),8*Assumptions!AA$222)-Assumptions!AA$222)*(Assumptions!$C$66+Assumptions!$C$67)+IF(((Assumptions!$D$94*IF(Assumptions!AA$206=2027,1+Assumptions!$F$193,1))/12)&gt;Assumptions!AA$222,MIN(((Assumptions!$D$94*IF(Assumptions!AA$206=2027,1+Assumptions!$F$193,1))/12),8*Assumptions!AA$222)*Assumptions!$C$68+MIN(((Assumptions!$D$94*IF(Assumptions!AA$206=2027,1+Assumptions!$F$193,1))/12),4*Assumptions!AA$222)*Assumptions!$C$69,0))</f>
        <v>1415.63375609181</v>
      </c>
      <c r="AB125" s="65" t="n">
        <f aca="false">AB15*(MIN(((Assumptions!$D$94*IF(Assumptions!AB$206=2027,1+Assumptions!$F$193,1))/12),Assumptions!AB$222)*(Assumptions!$C$64+Assumptions!$C$65)+MAX(0,MIN(((Assumptions!$D$94*IF(Assumptions!AB$206=2027,1+Assumptions!$F$193,1))/12),8*Assumptions!AB$222)-Assumptions!AB$222)*(Assumptions!$C$66+Assumptions!$C$67)+IF(((Assumptions!$D$94*IF(Assumptions!AB$206=2027,1+Assumptions!$F$193,1))/12)&gt;Assumptions!AB$222,MIN(((Assumptions!$D$94*IF(Assumptions!AB$206=2027,1+Assumptions!$F$193,1))/12),8*Assumptions!AB$222)*Assumptions!$C$68+MIN(((Assumptions!$D$94*IF(Assumptions!AB$206=2027,1+Assumptions!$F$193,1))/12),4*Assumptions!AB$222)*Assumptions!$C$69,0))</f>
        <v>1415.63375609695</v>
      </c>
    </row>
    <row r="126" customFormat="false" ht="15" hidden="false" customHeight="false" outlineLevel="0" collapsed="false">
      <c r="A126" s="28" t="s">
        <v>1212</v>
      </c>
      <c r="B126" s="62"/>
      <c r="C126" s="64" t="n">
        <f aca="false">SUM(E126:P126)</f>
        <v>10008.5830610595</v>
      </c>
      <c r="D126" s="64" t="n">
        <f aca="false">SUM(Q126:AB126)</f>
        <v>10099.0036154351</v>
      </c>
      <c r="E126" s="65" t="n">
        <f aca="false">E16*(MIN(((Assumptions!$D$95*IF(Assumptions!E$206=2027,1+Assumptions!$F$193,1))/12),Assumptions!E$222)*(Assumptions!$C$64+Assumptions!$C$65)+MAX(0,MIN(((Assumptions!$D$95*IF(Assumptions!E$206=2027,1+Assumptions!$F$193,1))/12),8*Assumptions!E$222)-Assumptions!E$222)*(Assumptions!$C$66+Assumptions!$C$67)+IF(((Assumptions!$D$95*IF(Assumptions!E$206=2027,1+Assumptions!$F$193,1))/12)&gt;Assumptions!E$222,MIN(((Assumptions!$D$95*IF(Assumptions!E$206=2027,1+Assumptions!$F$193,1))/12),8*Assumptions!E$222)*Assumptions!$C$68+MIN(((Assumptions!$D$95*IF(Assumptions!E$206=2027,1+Assumptions!$F$193,1))/12),4*Assumptions!E$222)*Assumptions!$C$69,0))</f>
        <v>842.081166666667</v>
      </c>
      <c r="F126" s="65" t="n">
        <f aca="false">F16*(MIN(((Assumptions!$D$95*IF(Assumptions!F$206=2027,1+Assumptions!$F$193,1))/12),Assumptions!F$222)*(Assumptions!$C$64+Assumptions!$C$65)+MAX(0,MIN(((Assumptions!$D$95*IF(Assumptions!F$206=2027,1+Assumptions!$F$193,1))/12),8*Assumptions!F$222)-Assumptions!F$222)*(Assumptions!$C$66+Assumptions!$C$67)+IF(((Assumptions!$D$95*IF(Assumptions!F$206=2027,1+Assumptions!$F$193,1))/12)&gt;Assumptions!F$222,MIN(((Assumptions!$D$95*IF(Assumptions!F$206=2027,1+Assumptions!$F$193,1))/12),8*Assumptions!F$222)*Assumptions!$C$68+MIN(((Assumptions!$D$95*IF(Assumptions!F$206=2027,1+Assumptions!$F$193,1))/12),4*Assumptions!F$222)*Assumptions!$C$69,0))</f>
        <v>842.081166666667</v>
      </c>
      <c r="G126" s="65" t="n">
        <f aca="false">G16*(MIN(((Assumptions!$D$95*IF(Assumptions!G$206=2027,1+Assumptions!$F$193,1))/12),Assumptions!G$222)*(Assumptions!$C$64+Assumptions!$C$65)+MAX(0,MIN(((Assumptions!$D$95*IF(Assumptions!G$206=2027,1+Assumptions!$F$193,1))/12),8*Assumptions!G$222)-Assumptions!G$222)*(Assumptions!$C$66+Assumptions!$C$67)+IF(((Assumptions!$D$95*IF(Assumptions!G$206=2027,1+Assumptions!$F$193,1))/12)&gt;Assumptions!G$222,MIN(((Assumptions!$D$95*IF(Assumptions!G$206=2027,1+Assumptions!$F$193,1))/12),8*Assumptions!G$222)*Assumptions!$C$68+MIN(((Assumptions!$D$95*IF(Assumptions!G$206=2027,1+Assumptions!$F$193,1))/12),4*Assumptions!G$222)*Assumptions!$C$69,0))</f>
        <v>842.081166666667</v>
      </c>
      <c r="H126" s="65" t="n">
        <f aca="false">H16*(MIN(((Assumptions!$D$95*IF(Assumptions!H$206=2027,1+Assumptions!$F$193,1))/12),Assumptions!H$222)*(Assumptions!$C$64+Assumptions!$C$65)+MAX(0,MIN(((Assumptions!$D$95*IF(Assumptions!H$206=2027,1+Assumptions!$F$193,1))/12),8*Assumptions!H$222)-Assumptions!H$222)*(Assumptions!$C$66+Assumptions!$C$67)+IF(((Assumptions!$D$95*IF(Assumptions!H$206=2027,1+Assumptions!$F$193,1))/12)&gt;Assumptions!H$222,MIN(((Assumptions!$D$95*IF(Assumptions!H$206=2027,1+Assumptions!$F$193,1))/12),8*Assumptions!H$222)*Assumptions!$C$68+MIN(((Assumptions!$D$95*IF(Assumptions!H$206=2027,1+Assumptions!$F$193,1))/12),4*Assumptions!H$222)*Assumptions!$C$69,0))</f>
        <v>842.081166666667</v>
      </c>
      <c r="I126" s="65" t="n">
        <f aca="false">I16*(MIN(((Assumptions!$D$95*IF(Assumptions!I$206=2027,1+Assumptions!$F$193,1))/12),Assumptions!I$222)*(Assumptions!$C$64+Assumptions!$C$65)+MAX(0,MIN(((Assumptions!$D$95*IF(Assumptions!I$206=2027,1+Assumptions!$F$193,1))/12),8*Assumptions!I$222)-Assumptions!I$222)*(Assumptions!$C$66+Assumptions!$C$67)+IF(((Assumptions!$D$95*IF(Assumptions!I$206=2027,1+Assumptions!$F$193,1))/12)&gt;Assumptions!I$222,MIN(((Assumptions!$D$95*IF(Assumptions!I$206=2027,1+Assumptions!$F$193,1))/12),8*Assumptions!I$222)*Assumptions!$C$68+MIN(((Assumptions!$D$95*IF(Assumptions!I$206=2027,1+Assumptions!$F$193,1))/12),4*Assumptions!I$222)*Assumptions!$C$69,0))</f>
        <v>842.081166666667</v>
      </c>
      <c r="J126" s="65" t="n">
        <f aca="false">J16*(MIN(((Assumptions!$D$95*IF(Assumptions!J$206=2027,1+Assumptions!$F$193,1))/12),Assumptions!J$222)*(Assumptions!$C$64+Assumptions!$C$65)+MAX(0,MIN(((Assumptions!$D$95*IF(Assumptions!J$206=2027,1+Assumptions!$F$193,1))/12),8*Assumptions!J$222)-Assumptions!J$222)*(Assumptions!$C$66+Assumptions!$C$67)+IF(((Assumptions!$D$95*IF(Assumptions!J$206=2027,1+Assumptions!$F$193,1))/12)&gt;Assumptions!J$222,MIN(((Assumptions!$D$95*IF(Assumptions!J$206=2027,1+Assumptions!$F$193,1))/12),8*Assumptions!J$222)*Assumptions!$C$68+MIN(((Assumptions!$D$95*IF(Assumptions!J$206=2027,1+Assumptions!$F$193,1))/12),4*Assumptions!J$222)*Assumptions!$C$69,0))</f>
        <v>842.081166666667</v>
      </c>
      <c r="K126" s="65" t="n">
        <f aca="false">K16*(MIN(((Assumptions!$D$95*IF(Assumptions!K$206=2027,1+Assumptions!$F$193,1))/12),Assumptions!K$222)*(Assumptions!$C$64+Assumptions!$C$65)+MAX(0,MIN(((Assumptions!$D$95*IF(Assumptions!K$206=2027,1+Assumptions!$F$193,1))/12),8*Assumptions!K$222)-Assumptions!K$222)*(Assumptions!$C$66+Assumptions!$C$67)+IF(((Assumptions!$D$95*IF(Assumptions!K$206=2027,1+Assumptions!$F$193,1))/12)&gt;Assumptions!K$222,MIN(((Assumptions!$D$95*IF(Assumptions!K$206=2027,1+Assumptions!$F$193,1))/12),8*Assumptions!K$222)*Assumptions!$C$68+MIN(((Assumptions!$D$95*IF(Assumptions!K$206=2027,1+Assumptions!$F$193,1))/12),4*Assumptions!K$222)*Assumptions!$C$69,0))</f>
        <v>842.081166666667</v>
      </c>
      <c r="L126" s="65" t="n">
        <f aca="false">L16*(MIN(((Assumptions!$D$95*IF(Assumptions!L$206=2027,1+Assumptions!$F$193,1))/12),Assumptions!L$222)*(Assumptions!$C$64+Assumptions!$C$65)+MAX(0,MIN(((Assumptions!$D$95*IF(Assumptions!L$206=2027,1+Assumptions!$F$193,1))/12),8*Assumptions!L$222)-Assumptions!L$222)*(Assumptions!$C$66+Assumptions!$C$67)+IF(((Assumptions!$D$95*IF(Assumptions!L$206=2027,1+Assumptions!$F$193,1))/12)&gt;Assumptions!L$222,MIN(((Assumptions!$D$95*IF(Assumptions!L$206=2027,1+Assumptions!$F$193,1))/12),8*Assumptions!L$222)*Assumptions!$C$68+MIN(((Assumptions!$D$95*IF(Assumptions!L$206=2027,1+Assumptions!$F$193,1))/12),4*Assumptions!L$222)*Assumptions!$C$69,0))</f>
        <v>842.081166666667</v>
      </c>
      <c r="M126" s="65" t="n">
        <f aca="false">M16*(MIN(((Assumptions!$D$95*IF(Assumptions!M$206=2027,1+Assumptions!$F$193,1))/12),Assumptions!M$222)*(Assumptions!$C$64+Assumptions!$C$65)+MAX(0,MIN(((Assumptions!$D$95*IF(Assumptions!M$206=2027,1+Assumptions!$F$193,1))/12),8*Assumptions!M$222)-Assumptions!M$222)*(Assumptions!$C$66+Assumptions!$C$67)+IF(((Assumptions!$D$95*IF(Assumptions!M$206=2027,1+Assumptions!$F$193,1))/12)&gt;Assumptions!M$222,MIN(((Assumptions!$D$95*IF(Assumptions!M$206=2027,1+Assumptions!$F$193,1))/12),8*Assumptions!M$222)*Assumptions!$C$68+MIN(((Assumptions!$D$95*IF(Assumptions!M$206=2027,1+Assumptions!$F$193,1))/12),4*Assumptions!M$222)*Assumptions!$C$69,0))</f>
        <v>828.046480555556</v>
      </c>
      <c r="N126" s="65" t="n">
        <f aca="false">N16*(MIN(((Assumptions!$D$95*IF(Assumptions!N$206=2027,1+Assumptions!$F$193,1))/12),Assumptions!N$222)*(Assumptions!$C$64+Assumptions!$C$65)+MAX(0,MIN(((Assumptions!$D$95*IF(Assumptions!N$206=2027,1+Assumptions!$F$193,1))/12),8*Assumptions!N$222)-Assumptions!N$222)*(Assumptions!$C$66+Assumptions!$C$67)+IF(((Assumptions!$D$95*IF(Assumptions!N$206=2027,1+Assumptions!$F$193,1))/12)&gt;Assumptions!N$222,MIN(((Assumptions!$D$95*IF(Assumptions!N$206=2027,1+Assumptions!$F$193,1))/12),8*Assumptions!N$222)*Assumptions!$C$68+MIN(((Assumptions!$D$95*IF(Assumptions!N$206=2027,1+Assumptions!$F$193,1))/12),4*Assumptions!N$222)*Assumptions!$C$69,0))</f>
        <v>814.24570587963</v>
      </c>
      <c r="O126" s="65" t="n">
        <f aca="false">O16*(MIN(((Assumptions!$D$95*IF(Assumptions!O$206=2027,1+Assumptions!$F$193,1))/12),Assumptions!O$222)*(Assumptions!$C$64+Assumptions!$C$65)+MAX(0,MIN(((Assumptions!$D$95*IF(Assumptions!O$206=2027,1+Assumptions!$F$193,1))/12),8*Assumptions!O$222)-Assumptions!O$222)*(Assumptions!$C$66+Assumptions!$C$67)+IF(((Assumptions!$D$95*IF(Assumptions!O$206=2027,1+Assumptions!$F$193,1))/12)&gt;Assumptions!O$222,MIN(((Assumptions!$D$95*IF(Assumptions!O$206=2027,1+Assumptions!$F$193,1))/12),8*Assumptions!O$222)*Assumptions!$C$68+MIN(((Assumptions!$D$95*IF(Assumptions!O$206=2027,1+Assumptions!$F$193,1))/12),4*Assumptions!O$222)*Assumptions!$C$69,0))</f>
        <v>814.70963022608</v>
      </c>
      <c r="P126" s="65" t="n">
        <f aca="false">P16*(MIN(((Assumptions!$D$95*IF(Assumptions!P$206=2027,1+Assumptions!$F$193,1))/12),Assumptions!P$222)*(Assumptions!$C$64+Assumptions!$C$65)+MAX(0,MIN(((Assumptions!$D$95*IF(Assumptions!P$206=2027,1+Assumptions!$F$193,1))/12),8*Assumptions!P$222)-Assumptions!P$222)*(Assumptions!$C$66+Assumptions!$C$67)+IF(((Assumptions!$D$95*IF(Assumptions!P$206=2027,1+Assumptions!$F$193,1))/12)&gt;Assumptions!P$222,MIN(((Assumptions!$D$95*IF(Assumptions!P$206=2027,1+Assumptions!$F$193,1))/12),8*Assumptions!P$222)*Assumptions!$C$68+MIN(((Assumptions!$D$95*IF(Assumptions!P$206=2027,1+Assumptions!$F$193,1))/12),4*Assumptions!P$222)*Assumptions!$C$69,0))</f>
        <v>814.931911064905</v>
      </c>
      <c r="Q126" s="65" t="n">
        <f aca="false">Q16*(MIN(((Assumptions!$D$95*IF(Assumptions!Q$206=2027,1+Assumptions!$F$193,1))/12),Assumptions!Q$222)*(Assumptions!$C$64+Assumptions!$C$65)+MAX(0,MIN(((Assumptions!$D$95*IF(Assumptions!Q$206=2027,1+Assumptions!$F$193,1))/12),8*Assumptions!Q$222)-Assumptions!Q$222)*(Assumptions!$C$66+Assumptions!$C$67)+IF(((Assumptions!$D$95*IF(Assumptions!Q$206=2027,1+Assumptions!$F$193,1))/12)&gt;Assumptions!Q$222,MIN(((Assumptions!$D$95*IF(Assumptions!Q$206=2027,1+Assumptions!$F$193,1))/12),8*Assumptions!Q$222)*Assumptions!$C$68+MIN(((Assumptions!$D$95*IF(Assumptions!Q$206=2027,1+Assumptions!$F$193,1))/12),4*Assumptions!Q$222)*Assumptions!$C$69,0))</f>
        <v>841.586708587724</v>
      </c>
      <c r="R126" s="65" t="n">
        <f aca="false">R16*(MIN(((Assumptions!$D$95*IF(Assumptions!R$206=2027,1+Assumptions!$F$193,1))/12),Assumptions!R$222)*(Assumptions!$C$64+Assumptions!$C$65)+MAX(0,MIN(((Assumptions!$D$95*IF(Assumptions!R$206=2027,1+Assumptions!$F$193,1))/12),8*Assumptions!R$222)-Assumptions!R$222)*(Assumptions!$C$66+Assumptions!$C$67)+IF(((Assumptions!$D$95*IF(Assumptions!R$206=2027,1+Assumptions!$F$193,1))/12)&gt;Assumptions!R$222,MIN(((Assumptions!$D$95*IF(Assumptions!R$206=2027,1+Assumptions!$F$193,1))/12),8*Assumptions!R$222)*Assumptions!$C$68+MIN(((Assumptions!$D$95*IF(Assumptions!R$206=2027,1+Assumptions!$F$193,1))/12),4*Assumptions!R$222)*Assumptions!$C$69,0))</f>
        <v>841.583079530539</v>
      </c>
      <c r="S126" s="65" t="n">
        <f aca="false">S16*(MIN(((Assumptions!$D$95*IF(Assumptions!S$206=2027,1+Assumptions!$F$193,1))/12),Assumptions!S$222)*(Assumptions!$C$64+Assumptions!$C$65)+MAX(0,MIN(((Assumptions!$D$95*IF(Assumptions!S$206=2027,1+Assumptions!$F$193,1))/12),8*Assumptions!S$222)-Assumptions!S$222)*(Assumptions!$C$66+Assumptions!$C$67)+IF(((Assumptions!$D$95*IF(Assumptions!S$206=2027,1+Assumptions!$F$193,1))/12)&gt;Assumptions!S$222,MIN(((Assumptions!$D$95*IF(Assumptions!S$206=2027,1+Assumptions!$F$193,1))/12),8*Assumptions!S$222)*Assumptions!$C$68+MIN(((Assumptions!$D$95*IF(Assumptions!S$206=2027,1+Assumptions!$F$193,1))/12),4*Assumptions!S$222)*Assumptions!$C$69,0))</f>
        <v>841.583336864696</v>
      </c>
      <c r="T126" s="65" t="n">
        <f aca="false">T16*(MIN(((Assumptions!$D$95*IF(Assumptions!T$206=2027,1+Assumptions!$F$193,1))/12),Assumptions!T$222)*(Assumptions!$C$64+Assumptions!$C$65)+MAX(0,MIN(((Assumptions!$D$95*IF(Assumptions!T$206=2027,1+Assumptions!$F$193,1))/12),8*Assumptions!T$222)-Assumptions!T$222)*(Assumptions!$C$66+Assumptions!$C$67)+IF(((Assumptions!$D$95*IF(Assumptions!T$206=2027,1+Assumptions!$F$193,1))/12)&gt;Assumptions!T$222,MIN(((Assumptions!$D$95*IF(Assumptions!T$206=2027,1+Assumptions!$F$193,1))/12),8*Assumptions!T$222)*Assumptions!$C$68+MIN(((Assumptions!$D$95*IF(Assumptions!T$206=2027,1+Assumptions!$F$193,1))/12),4*Assumptions!T$222)*Assumptions!$C$69,0))</f>
        <v>841.58339306008</v>
      </c>
      <c r="U126" s="65" t="n">
        <f aca="false">U16*(MIN(((Assumptions!$D$95*IF(Assumptions!U$206=2027,1+Assumptions!$F$193,1))/12),Assumptions!U$222)*(Assumptions!$C$64+Assumptions!$C$65)+MAX(0,MIN(((Assumptions!$D$95*IF(Assumptions!U$206=2027,1+Assumptions!$F$193,1))/12),8*Assumptions!U$222)-Assumptions!U$222)*(Assumptions!$C$66+Assumptions!$C$67)+IF(((Assumptions!$D$95*IF(Assumptions!U$206=2027,1+Assumptions!$F$193,1))/12)&gt;Assumptions!U$222,MIN(((Assumptions!$D$95*IF(Assumptions!U$206=2027,1+Assumptions!$F$193,1))/12),8*Assumptions!U$222)*Assumptions!$C$68+MIN(((Assumptions!$D$95*IF(Assumptions!U$206=2027,1+Assumptions!$F$193,1))/12),4*Assumptions!U$222)*Assumptions!$C$69,0))</f>
        <v>841.583387834587</v>
      </c>
      <c r="V126" s="65" t="n">
        <f aca="false">V16*(MIN(((Assumptions!$D$95*IF(Assumptions!V$206=2027,1+Assumptions!$F$193,1))/12),Assumptions!V$222)*(Assumptions!$C$64+Assumptions!$C$65)+MAX(0,MIN(((Assumptions!$D$95*IF(Assumptions!V$206=2027,1+Assumptions!$F$193,1))/12),8*Assumptions!V$222)-Assumptions!V$222)*(Assumptions!$C$66+Assumptions!$C$67)+IF(((Assumptions!$D$95*IF(Assumptions!V$206=2027,1+Assumptions!$F$193,1))/12)&gt;Assumptions!V$222,MIN(((Assumptions!$D$95*IF(Assumptions!V$206=2027,1+Assumptions!$F$193,1))/12),8*Assumptions!V$222)*Assumptions!$C$68+MIN(((Assumptions!$D$95*IF(Assumptions!V$206=2027,1+Assumptions!$F$193,1))/12),4*Assumptions!V$222)*Assumptions!$C$69,0))</f>
        <v>841.583386985089</v>
      </c>
      <c r="W126" s="65" t="n">
        <f aca="false">W16*(MIN(((Assumptions!$D$95*IF(Assumptions!W$206=2027,1+Assumptions!$F$193,1))/12),Assumptions!W$222)*(Assumptions!$C$64+Assumptions!$C$65)+MAX(0,MIN(((Assumptions!$D$95*IF(Assumptions!W$206=2027,1+Assumptions!$F$193,1))/12),8*Assumptions!W$222)-Assumptions!W$222)*(Assumptions!$C$66+Assumptions!$C$67)+IF(((Assumptions!$D$95*IF(Assumptions!W$206=2027,1+Assumptions!$F$193,1))/12)&gt;Assumptions!W$222,MIN(((Assumptions!$D$95*IF(Assumptions!W$206=2027,1+Assumptions!$F$193,1))/12),8*Assumptions!W$222)*Assumptions!$C$68+MIN(((Assumptions!$D$95*IF(Assumptions!W$206=2027,1+Assumptions!$F$193,1))/12),4*Assumptions!W$222)*Assumptions!$C$69,0))</f>
        <v>841.583387086339</v>
      </c>
      <c r="X126" s="65" t="n">
        <f aca="false">X16*(MIN(((Assumptions!$D$95*IF(Assumptions!X$206=2027,1+Assumptions!$F$193,1))/12),Assumptions!X$222)*(Assumptions!$C$64+Assumptions!$C$65)+MAX(0,MIN(((Assumptions!$D$95*IF(Assumptions!X$206=2027,1+Assumptions!$F$193,1))/12),8*Assumptions!X$222)-Assumptions!X$222)*(Assumptions!$C$66+Assumptions!$C$67)+IF(((Assumptions!$D$95*IF(Assumptions!X$206=2027,1+Assumptions!$F$193,1))/12)&gt;Assumptions!X$222,MIN(((Assumptions!$D$95*IF(Assumptions!X$206=2027,1+Assumptions!$F$193,1))/12),8*Assumptions!X$222)*Assumptions!$C$68+MIN(((Assumptions!$D$95*IF(Assumptions!X$206=2027,1+Assumptions!$F$193,1))/12),4*Assumptions!X$222)*Assumptions!$C$69,0))</f>
        <v>841.58338709881</v>
      </c>
      <c r="Y126" s="65" t="n">
        <f aca="false">Y16*(MIN(((Assumptions!$D$95*IF(Assumptions!Y$206=2027,1+Assumptions!$F$193,1))/12),Assumptions!Y$222)*(Assumptions!$C$64+Assumptions!$C$65)+MAX(0,MIN(((Assumptions!$D$95*IF(Assumptions!Y$206=2027,1+Assumptions!$F$193,1))/12),8*Assumptions!Y$222)-Assumptions!Y$222)*(Assumptions!$C$66+Assumptions!$C$67)+IF(((Assumptions!$D$95*IF(Assumptions!Y$206=2027,1+Assumptions!$F$193,1))/12)&gt;Assumptions!Y$222,MIN(((Assumptions!$D$95*IF(Assumptions!Y$206=2027,1+Assumptions!$F$193,1))/12),8*Assumptions!Y$222)*Assumptions!$C$68+MIN(((Assumptions!$D$95*IF(Assumptions!Y$206=2027,1+Assumptions!$F$193,1))/12),4*Assumptions!Y$222)*Assumptions!$C$69,0))</f>
        <v>841.583387096914</v>
      </c>
      <c r="Z126" s="65" t="n">
        <f aca="false">Z16*(MIN(((Assumptions!$D$95*IF(Assumptions!Z$206=2027,1+Assumptions!$F$193,1))/12),Assumptions!Z$222)*(Assumptions!$C$64+Assumptions!$C$65)+MAX(0,MIN(((Assumptions!$D$95*IF(Assumptions!Z$206=2027,1+Assumptions!$F$193,1))/12),8*Assumptions!Z$222)-Assumptions!Z$222)*(Assumptions!$C$66+Assumptions!$C$67)+IF(((Assumptions!$D$95*IF(Assumptions!Z$206=2027,1+Assumptions!$F$193,1))/12)&gt;Assumptions!Z$222,MIN(((Assumptions!$D$95*IF(Assumptions!Z$206=2027,1+Assumptions!$F$193,1))/12),8*Assumptions!Z$222)*Assumptions!$C$68+MIN(((Assumptions!$D$95*IF(Assumptions!Z$206=2027,1+Assumptions!$F$193,1))/12),4*Assumptions!Z$222)*Assumptions!$C$69,0))</f>
        <v>841.583387096738</v>
      </c>
      <c r="AA126" s="65" t="n">
        <f aca="false">AA16*(MIN(((Assumptions!$D$95*IF(Assumptions!AA$206=2027,1+Assumptions!$F$193,1))/12),Assumptions!AA$222)*(Assumptions!$C$64+Assumptions!$C$65)+MAX(0,MIN(((Assumptions!$D$95*IF(Assumptions!AA$206=2027,1+Assumptions!$F$193,1))/12),8*Assumptions!AA$222)-Assumptions!AA$222)*(Assumptions!$C$66+Assumptions!$C$67)+IF(((Assumptions!$D$95*IF(Assumptions!AA$206=2027,1+Assumptions!$F$193,1))/12)&gt;Assumptions!AA$222,MIN(((Assumptions!$D$95*IF(Assumptions!AA$206=2027,1+Assumptions!$F$193,1))/12),8*Assumptions!AA$222)*Assumptions!$C$68+MIN(((Assumptions!$D$95*IF(Assumptions!AA$206=2027,1+Assumptions!$F$193,1))/12),4*Assumptions!AA$222)*Assumptions!$C$69,0))</f>
        <v>841.583387096773</v>
      </c>
      <c r="AB126" s="65" t="n">
        <f aca="false">AB16*(MIN(((Assumptions!$D$95*IF(Assumptions!AB$206=2027,1+Assumptions!$F$193,1))/12),Assumptions!AB$222)*(Assumptions!$C$64+Assumptions!$C$65)+MAX(0,MIN(((Assumptions!$D$95*IF(Assumptions!AB$206=2027,1+Assumptions!$F$193,1))/12),8*Assumptions!AB$222)-Assumptions!AB$222)*(Assumptions!$C$66+Assumptions!$C$67)+IF(((Assumptions!$D$95*IF(Assumptions!AB$206=2027,1+Assumptions!$F$193,1))/12)&gt;Assumptions!AB$222,MIN(((Assumptions!$D$95*IF(Assumptions!AB$206=2027,1+Assumptions!$F$193,1))/12),8*Assumptions!AB$222)*Assumptions!$C$68+MIN(((Assumptions!$D$95*IF(Assumptions!AB$206=2027,1+Assumptions!$F$193,1))/12),4*Assumptions!AB$222)*Assumptions!$C$69,0))</f>
        <v>841.583387096775</v>
      </c>
    </row>
    <row r="127" customFormat="false" ht="15" hidden="false" customHeight="false" outlineLevel="0" collapsed="false">
      <c r="A127" s="28" t="s">
        <v>1213</v>
      </c>
      <c r="B127" s="62"/>
      <c r="C127" s="64" t="n">
        <f aca="false">SUM(E127:P127)</f>
        <v>28723.4950159959</v>
      </c>
      <c r="D127" s="64" t="n">
        <f aca="false">SUM(Q127:AB127)</f>
        <v>38249.7204293479</v>
      </c>
      <c r="E127" s="65" t="n">
        <f aca="false">E17*(MIN(((Assumptions!$D$96*IF(Assumptions!E$206=2027,1+Assumptions!$F$193,1))/12),Assumptions!E$222)*(Assumptions!$C$64+Assumptions!$C$65)+MAX(0,MIN(((Assumptions!$D$96*IF(Assumptions!E$206=2027,1+Assumptions!$F$193,1))/12),8*Assumptions!E$222)-Assumptions!E$222)*(Assumptions!$C$66+Assumptions!$C$67)+IF(((Assumptions!$D$96*IF(Assumptions!E$206=2027,1+Assumptions!$F$193,1))/12)&gt;Assumptions!E$222,MIN(((Assumptions!$D$96*IF(Assumptions!E$206=2027,1+Assumptions!$F$193,1))/12),8*Assumptions!E$222)*Assumptions!$C$68+MIN(((Assumptions!$D$96*IF(Assumptions!E$206=2027,1+Assumptions!$F$193,1))/12),4*Assumptions!E$222)*Assumptions!$C$69,0))</f>
        <v>1986.50583333333</v>
      </c>
      <c r="F127" s="65" t="n">
        <f aca="false">F17*(MIN(((Assumptions!$D$96*IF(Assumptions!F$206=2027,1+Assumptions!$F$193,1))/12),Assumptions!F$222)*(Assumptions!$C$64+Assumptions!$C$65)+MAX(0,MIN(((Assumptions!$D$96*IF(Assumptions!F$206=2027,1+Assumptions!$F$193,1))/12),8*Assumptions!F$222)-Assumptions!F$222)*(Assumptions!$C$66+Assumptions!$C$67)+IF(((Assumptions!$D$96*IF(Assumptions!F$206=2027,1+Assumptions!$F$193,1))/12)&gt;Assumptions!F$222,MIN(((Assumptions!$D$96*IF(Assumptions!F$206=2027,1+Assumptions!$F$193,1))/12),8*Assumptions!F$222)*Assumptions!$C$68+MIN(((Assumptions!$D$96*IF(Assumptions!F$206=2027,1+Assumptions!$F$193,1))/12),4*Assumptions!F$222)*Assumptions!$C$69,0))</f>
        <v>2383.807</v>
      </c>
      <c r="G127" s="65" t="n">
        <f aca="false">G17*(MIN(((Assumptions!$D$96*IF(Assumptions!G$206=2027,1+Assumptions!$F$193,1))/12),Assumptions!G$222)*(Assumptions!$C$64+Assumptions!$C$65)+MAX(0,MIN(((Assumptions!$D$96*IF(Assumptions!G$206=2027,1+Assumptions!$F$193,1))/12),8*Assumptions!G$222)-Assumptions!G$222)*(Assumptions!$C$66+Assumptions!$C$67)+IF(((Assumptions!$D$96*IF(Assumptions!G$206=2027,1+Assumptions!$F$193,1))/12)&gt;Assumptions!G$222,MIN(((Assumptions!$D$96*IF(Assumptions!G$206=2027,1+Assumptions!$F$193,1))/12),8*Assumptions!G$222)*Assumptions!$C$68+MIN(((Assumptions!$D$96*IF(Assumptions!G$206=2027,1+Assumptions!$F$193,1))/12),4*Assumptions!G$222)*Assumptions!$C$69,0))</f>
        <v>2383.807</v>
      </c>
      <c r="H127" s="65" t="n">
        <f aca="false">H17*(MIN(((Assumptions!$D$96*IF(Assumptions!H$206=2027,1+Assumptions!$F$193,1))/12),Assumptions!H$222)*(Assumptions!$C$64+Assumptions!$C$65)+MAX(0,MIN(((Assumptions!$D$96*IF(Assumptions!H$206=2027,1+Assumptions!$F$193,1))/12),8*Assumptions!H$222)-Assumptions!H$222)*(Assumptions!$C$66+Assumptions!$C$67)+IF(((Assumptions!$D$96*IF(Assumptions!H$206=2027,1+Assumptions!$F$193,1))/12)&gt;Assumptions!H$222,MIN(((Assumptions!$D$96*IF(Assumptions!H$206=2027,1+Assumptions!$F$193,1))/12),8*Assumptions!H$222)*Assumptions!$C$68+MIN(((Assumptions!$D$96*IF(Assumptions!H$206=2027,1+Assumptions!$F$193,1))/12),4*Assumptions!H$222)*Assumptions!$C$69,0))</f>
        <v>2383.807</v>
      </c>
      <c r="I127" s="65" t="n">
        <f aca="false">I17*(MIN(((Assumptions!$D$96*IF(Assumptions!I$206=2027,1+Assumptions!$F$193,1))/12),Assumptions!I$222)*(Assumptions!$C$64+Assumptions!$C$65)+MAX(0,MIN(((Assumptions!$D$96*IF(Assumptions!I$206=2027,1+Assumptions!$F$193,1))/12),8*Assumptions!I$222)-Assumptions!I$222)*(Assumptions!$C$66+Assumptions!$C$67)+IF(((Assumptions!$D$96*IF(Assumptions!I$206=2027,1+Assumptions!$F$193,1))/12)&gt;Assumptions!I$222,MIN(((Assumptions!$D$96*IF(Assumptions!I$206=2027,1+Assumptions!$F$193,1))/12),8*Assumptions!I$222)*Assumptions!$C$68+MIN(((Assumptions!$D$96*IF(Assumptions!I$206=2027,1+Assumptions!$F$193,1))/12),4*Assumptions!I$222)*Assumptions!$C$69,0))</f>
        <v>2383.807</v>
      </c>
      <c r="J127" s="65" t="n">
        <f aca="false">J17*(MIN(((Assumptions!$D$96*IF(Assumptions!J$206=2027,1+Assumptions!$F$193,1))/12),Assumptions!J$222)*(Assumptions!$C$64+Assumptions!$C$65)+MAX(0,MIN(((Assumptions!$D$96*IF(Assumptions!J$206=2027,1+Assumptions!$F$193,1))/12),8*Assumptions!J$222)-Assumptions!J$222)*(Assumptions!$C$66+Assumptions!$C$67)+IF(((Assumptions!$D$96*IF(Assumptions!J$206=2027,1+Assumptions!$F$193,1))/12)&gt;Assumptions!J$222,MIN(((Assumptions!$D$96*IF(Assumptions!J$206=2027,1+Assumptions!$F$193,1))/12),8*Assumptions!J$222)*Assumptions!$C$68+MIN(((Assumptions!$D$96*IF(Assumptions!J$206=2027,1+Assumptions!$F$193,1))/12),4*Assumptions!J$222)*Assumptions!$C$69,0))</f>
        <v>2383.807</v>
      </c>
      <c r="K127" s="65" t="n">
        <f aca="false">K17*(MIN(((Assumptions!$D$96*IF(Assumptions!K$206=2027,1+Assumptions!$F$193,1))/12),Assumptions!K$222)*(Assumptions!$C$64+Assumptions!$C$65)+MAX(0,MIN(((Assumptions!$D$96*IF(Assumptions!K$206=2027,1+Assumptions!$F$193,1))/12),8*Assumptions!K$222)-Assumptions!K$222)*(Assumptions!$C$66+Assumptions!$C$67)+IF(((Assumptions!$D$96*IF(Assumptions!K$206=2027,1+Assumptions!$F$193,1))/12)&gt;Assumptions!K$222,MIN(((Assumptions!$D$96*IF(Assumptions!K$206=2027,1+Assumptions!$F$193,1))/12),8*Assumptions!K$222)*Assumptions!$C$68+MIN(((Assumptions!$D$96*IF(Assumptions!K$206=2027,1+Assumptions!$F$193,1))/12),4*Assumptions!K$222)*Assumptions!$C$69,0))</f>
        <v>2383.807</v>
      </c>
      <c r="L127" s="65" t="n">
        <f aca="false">L17*(MIN(((Assumptions!$D$96*IF(Assumptions!L$206=2027,1+Assumptions!$F$193,1))/12),Assumptions!L$222)*(Assumptions!$C$64+Assumptions!$C$65)+MAX(0,MIN(((Assumptions!$D$96*IF(Assumptions!L$206=2027,1+Assumptions!$F$193,1))/12),8*Assumptions!L$222)-Assumptions!L$222)*(Assumptions!$C$66+Assumptions!$C$67)+IF(((Assumptions!$D$96*IF(Assumptions!L$206=2027,1+Assumptions!$F$193,1))/12)&gt;Assumptions!L$222,MIN(((Assumptions!$D$96*IF(Assumptions!L$206=2027,1+Assumptions!$F$193,1))/12),8*Assumptions!L$222)*Assumptions!$C$68+MIN(((Assumptions!$D$96*IF(Assumptions!L$206=2027,1+Assumptions!$F$193,1))/12),4*Assumptions!L$222)*Assumptions!$C$69,0))</f>
        <v>2383.807</v>
      </c>
      <c r="M127" s="65" t="n">
        <f aca="false">M17*(MIN(((Assumptions!$D$96*IF(Assumptions!M$206=2027,1+Assumptions!$F$193,1))/12),Assumptions!M$222)*(Assumptions!$C$64+Assumptions!$C$65)+MAX(0,MIN(((Assumptions!$D$96*IF(Assumptions!M$206=2027,1+Assumptions!$F$193,1))/12),8*Assumptions!M$222)-Assumptions!M$222)*(Assumptions!$C$66+Assumptions!$C$67)+IF(((Assumptions!$D$96*IF(Assumptions!M$206=2027,1+Assumptions!$F$193,1))/12)&gt;Assumptions!M$222,MIN(((Assumptions!$D$96*IF(Assumptions!M$206=2027,1+Assumptions!$F$193,1))/12),8*Assumptions!M$222)*Assumptions!$C$68+MIN(((Assumptions!$D$96*IF(Assumptions!M$206=2027,1+Assumptions!$F$193,1))/12),4*Assumptions!M$222)*Assumptions!$C$69,0))</f>
        <v>2344.07688333333</v>
      </c>
      <c r="N127" s="65" t="n">
        <f aca="false">N17*(MIN(((Assumptions!$D$96*IF(Assumptions!N$206=2027,1+Assumptions!$F$193,1))/12),Assumptions!N$222)*(Assumptions!$C$64+Assumptions!$C$65)+MAX(0,MIN(((Assumptions!$D$96*IF(Assumptions!N$206=2027,1+Assumptions!$F$193,1))/12),8*Assumptions!N$222)-Assumptions!N$222)*(Assumptions!$C$66+Assumptions!$C$67)+IF(((Assumptions!$D$96*IF(Assumptions!N$206=2027,1+Assumptions!$F$193,1))/12)&gt;Assumptions!N$222,MIN(((Assumptions!$D$96*IF(Assumptions!N$206=2027,1+Assumptions!$F$193,1))/12),8*Assumptions!N$222)*Assumptions!$C$68+MIN(((Assumptions!$D$96*IF(Assumptions!N$206=2027,1+Assumptions!$F$193,1))/12),4*Assumptions!N$222)*Assumptions!$C$69,0))</f>
        <v>2305.00893527778</v>
      </c>
      <c r="O127" s="65" t="n">
        <f aca="false">O17*(MIN(((Assumptions!$D$96*IF(Assumptions!O$206=2027,1+Assumptions!$F$193,1))/12),Assumptions!O$222)*(Assumptions!$C$64+Assumptions!$C$65)+MAX(0,MIN(((Assumptions!$D$96*IF(Assumptions!O$206=2027,1+Assumptions!$F$193,1))/12),8*Assumptions!O$222)-Assumptions!O$222)*(Assumptions!$C$66+Assumptions!$C$67)+IF(((Assumptions!$D$96*IF(Assumptions!O$206=2027,1+Assumptions!$F$193,1))/12)&gt;Assumptions!O$222,MIN(((Assumptions!$D$96*IF(Assumptions!O$206=2027,1+Assumptions!$F$193,1))/12),8*Assumptions!O$222)*Assumptions!$C$68+MIN(((Assumptions!$D$96*IF(Assumptions!O$206=2027,1+Assumptions!$F$193,1))/12),4*Assumptions!O$222)*Assumptions!$C$69,0))</f>
        <v>2703.62340302315</v>
      </c>
      <c r="P127" s="65" t="n">
        <f aca="false">P17*(MIN(((Assumptions!$D$96*IF(Assumptions!P$206=2027,1+Assumptions!$F$193,1))/12),Assumptions!P$222)*(Assumptions!$C$64+Assumptions!$C$65)+MAX(0,MIN(((Assumptions!$D$96*IF(Assumptions!P$206=2027,1+Assumptions!$F$193,1))/12),8*Assumptions!P$222)-Assumptions!P$222)*(Assumptions!$C$66+Assumptions!$C$67)+IF(((Assumptions!$D$96*IF(Assumptions!P$206=2027,1+Assumptions!$F$193,1))/12)&gt;Assumptions!P$222,MIN(((Assumptions!$D$96*IF(Assumptions!P$206=2027,1+Assumptions!$F$193,1))/12),8*Assumptions!P$222)*Assumptions!$C$68+MIN(((Assumptions!$D$96*IF(Assumptions!P$206=2027,1+Assumptions!$F$193,1))/12),4*Assumptions!P$222)*Assumptions!$C$69,0))</f>
        <v>2697.63096102832</v>
      </c>
      <c r="Q127" s="65" t="n">
        <f aca="false">Q17*(MIN(((Assumptions!$D$96*IF(Assumptions!Q$206=2027,1+Assumptions!$F$193,1))/12),Assumptions!Q$222)*(Assumptions!$C$64+Assumptions!$C$65)+MAX(0,MIN(((Assumptions!$D$96*IF(Assumptions!Q$206=2027,1+Assumptions!$F$193,1))/12),8*Assumptions!Q$222)-Assumptions!Q$222)*(Assumptions!$C$66+Assumptions!$C$67)+IF(((Assumptions!$D$96*IF(Assumptions!Q$206=2027,1+Assumptions!$F$193,1))/12)&gt;Assumptions!Q$222,MIN(((Assumptions!$D$96*IF(Assumptions!Q$206=2027,1+Assumptions!$F$193,1))/12),8*Assumptions!Q$222)*Assumptions!$C$68+MIN(((Assumptions!$D$96*IF(Assumptions!Q$206=2027,1+Assumptions!$F$193,1))/12),4*Assumptions!Q$222)*Assumptions!$C$69,0))</f>
        <v>3198.86114835337</v>
      </c>
      <c r="R127" s="65" t="n">
        <f aca="false">R17*(MIN(((Assumptions!$D$96*IF(Assumptions!R$206=2027,1+Assumptions!$F$193,1))/12),Assumptions!R$222)*(Assumptions!$C$64+Assumptions!$C$65)+MAX(0,MIN(((Assumptions!$D$96*IF(Assumptions!R$206=2027,1+Assumptions!$F$193,1))/12),8*Assumptions!R$222)-Assumptions!R$222)*(Assumptions!$C$66+Assumptions!$C$67)+IF(((Assumptions!$D$96*IF(Assumptions!R$206=2027,1+Assumptions!$F$193,1))/12)&gt;Assumptions!R$222,MIN(((Assumptions!$D$96*IF(Assumptions!R$206=2027,1+Assumptions!$F$193,1))/12),8*Assumptions!R$222)*Assumptions!$C$68+MIN(((Assumptions!$D$96*IF(Assumptions!R$206=2027,1+Assumptions!$F$193,1))/12),4*Assumptions!R$222)*Assumptions!$C$69,0))</f>
        <v>3192.21901165176</v>
      </c>
      <c r="S127" s="65" t="n">
        <f aca="false">S17*(MIN(((Assumptions!$D$96*IF(Assumptions!S$206=2027,1+Assumptions!$F$193,1))/12),Assumptions!S$222)*(Assumptions!$C$64+Assumptions!$C$65)+MAX(0,MIN(((Assumptions!$D$96*IF(Assumptions!S$206=2027,1+Assumptions!$F$193,1))/12),8*Assumptions!S$222)-Assumptions!S$222)*(Assumptions!$C$66+Assumptions!$C$67)+IF(((Assumptions!$D$96*IF(Assumptions!S$206=2027,1+Assumptions!$F$193,1))/12)&gt;Assumptions!S$222,MIN(((Assumptions!$D$96*IF(Assumptions!S$206=2027,1+Assumptions!$F$193,1))/12),8*Assumptions!S$222)*Assumptions!$C$68+MIN(((Assumptions!$D$96*IF(Assumptions!S$206=2027,1+Assumptions!$F$193,1))/12),4*Assumptions!S$222)*Assumptions!$C$69,0))</f>
        <v>3185.58413066658</v>
      </c>
      <c r="T127" s="65" t="n">
        <f aca="false">T17*(MIN(((Assumptions!$D$96*IF(Assumptions!T$206=2027,1+Assumptions!$F$193,1))/12),Assumptions!T$222)*(Assumptions!$C$64+Assumptions!$C$65)+MAX(0,MIN(((Assumptions!$D$96*IF(Assumptions!T$206=2027,1+Assumptions!$F$193,1))/12),8*Assumptions!T$222)-Assumptions!T$222)*(Assumptions!$C$66+Assumptions!$C$67)+IF(((Assumptions!$D$96*IF(Assumptions!T$206=2027,1+Assumptions!$F$193,1))/12)&gt;Assumptions!T$222,MIN(((Assumptions!$D$96*IF(Assumptions!T$206=2027,1+Assumptions!$F$193,1))/12),8*Assumptions!T$222)*Assumptions!$C$68+MIN(((Assumptions!$D$96*IF(Assumptions!T$206=2027,1+Assumptions!$F$193,1))/12),4*Assumptions!T$222)*Assumptions!$C$69,0))</f>
        <v>3185.80541429469</v>
      </c>
      <c r="U127" s="65" t="n">
        <f aca="false">U17*(MIN(((Assumptions!$D$96*IF(Assumptions!U$206=2027,1+Assumptions!$F$193,1))/12),Assumptions!U$222)*(Assumptions!$C$64+Assumptions!$C$65)+MAX(0,MIN(((Assumptions!$D$96*IF(Assumptions!U$206=2027,1+Assumptions!$F$193,1))/12),8*Assumptions!U$222)-Assumptions!U$222)*(Assumptions!$C$66+Assumptions!$C$67)+IF(((Assumptions!$D$96*IF(Assumptions!U$206=2027,1+Assumptions!$F$193,1))/12)&gt;Assumptions!U$222,MIN(((Assumptions!$D$96*IF(Assumptions!U$206=2027,1+Assumptions!$F$193,1))/12),8*Assumptions!U$222)*Assumptions!$C$68+MIN(((Assumptions!$D$96*IF(Assumptions!U$206=2027,1+Assumptions!$F$193,1))/12),4*Assumptions!U$222)*Assumptions!$C$69,0))</f>
        <v>3185.91230758398</v>
      </c>
      <c r="V127" s="65" t="n">
        <f aca="false">V17*(MIN(((Assumptions!$D$96*IF(Assumptions!V$206=2027,1+Assumptions!$F$193,1))/12),Assumptions!V$222)*(Assumptions!$C$64+Assumptions!$C$65)+MAX(0,MIN(((Assumptions!$D$96*IF(Assumptions!V$206=2027,1+Assumptions!$F$193,1))/12),8*Assumptions!V$222)-Assumptions!V$222)*(Assumptions!$C$66+Assumptions!$C$67)+IF(((Assumptions!$D$96*IF(Assumptions!V$206=2027,1+Assumptions!$F$193,1))/12)&gt;Assumptions!V$222,MIN(((Assumptions!$D$96*IF(Assumptions!V$206=2027,1+Assumptions!$F$193,1))/12),8*Assumptions!V$222)*Assumptions!$C$68+MIN(((Assumptions!$D$96*IF(Assumptions!V$206=2027,1+Assumptions!$F$193,1))/12),4*Assumptions!V$222)*Assumptions!$C$69,0))</f>
        <v>3185.90683796869</v>
      </c>
      <c r="W127" s="65" t="n">
        <f aca="false">W17*(MIN(((Assumptions!$D$96*IF(Assumptions!W$206=2027,1+Assumptions!$F$193,1))/12),Assumptions!W$222)*(Assumptions!$C$64+Assumptions!$C$65)+MAX(0,MIN(((Assumptions!$D$96*IF(Assumptions!W$206=2027,1+Assumptions!$F$193,1))/12),8*Assumptions!W$222)-Assumptions!W$222)*(Assumptions!$C$66+Assumptions!$C$67)+IF(((Assumptions!$D$96*IF(Assumptions!W$206=2027,1+Assumptions!$F$193,1))/12)&gt;Assumptions!W$222,MIN(((Assumptions!$D$96*IF(Assumptions!W$206=2027,1+Assumptions!$F$193,1))/12),8*Assumptions!W$222)*Assumptions!$C$68+MIN(((Assumptions!$D$96*IF(Assumptions!W$206=2027,1+Assumptions!$F$193,1))/12),4*Assumptions!W$222)*Assumptions!$C$69,0))</f>
        <v>3185.90514757412</v>
      </c>
      <c r="X127" s="65" t="n">
        <f aca="false">X17*(MIN(((Assumptions!$D$96*IF(Assumptions!X$206=2027,1+Assumptions!$F$193,1))/12),Assumptions!X$222)*(Assumptions!$C$64+Assumptions!$C$65)+MAX(0,MIN(((Assumptions!$D$96*IF(Assumptions!X$206=2027,1+Assumptions!$F$193,1))/12),8*Assumptions!X$222)-Assumptions!X$222)*(Assumptions!$C$66+Assumptions!$C$67)+IF(((Assumptions!$D$96*IF(Assumptions!X$206=2027,1+Assumptions!$F$193,1))/12)&gt;Assumptions!X$222,MIN(((Assumptions!$D$96*IF(Assumptions!X$206=2027,1+Assumptions!$F$193,1))/12),8*Assumptions!X$222)*Assumptions!$C$68+MIN(((Assumptions!$D$96*IF(Assumptions!X$206=2027,1+Assumptions!$F$193,1))/12),4*Assumptions!X$222)*Assumptions!$C$69,0))</f>
        <v>3185.90526690762</v>
      </c>
      <c r="Y127" s="65" t="n">
        <f aca="false">Y17*(MIN(((Assumptions!$D$96*IF(Assumptions!Y$206=2027,1+Assumptions!$F$193,1))/12),Assumptions!Y$222)*(Assumptions!$C$64+Assumptions!$C$65)+MAX(0,MIN(((Assumptions!$D$96*IF(Assumptions!Y$206=2027,1+Assumptions!$F$193,1))/12),8*Assumptions!Y$222)-Assumptions!Y$222)*(Assumptions!$C$66+Assumptions!$C$67)+IF(((Assumptions!$D$96*IF(Assumptions!Y$206=2027,1+Assumptions!$F$193,1))/12)&gt;Assumptions!Y$222,MIN(((Assumptions!$D$96*IF(Assumptions!Y$206=2027,1+Assumptions!$F$193,1))/12),8*Assumptions!Y$222)*Assumptions!$C$68+MIN(((Assumptions!$D$96*IF(Assumptions!Y$206=2027,1+Assumptions!$F$193,1))/12),4*Assumptions!Y$222)*Assumptions!$C$69,0))</f>
        <v>3185.90529309197</v>
      </c>
      <c r="Z127" s="65" t="n">
        <f aca="false">Z17*(MIN(((Assumptions!$D$96*IF(Assumptions!Z$206=2027,1+Assumptions!$F$193,1))/12),Assumptions!Z$222)*(Assumptions!$C$64+Assumptions!$C$65)+MAX(0,MIN(((Assumptions!$D$96*IF(Assumptions!Z$206=2027,1+Assumptions!$F$193,1))/12),8*Assumptions!Z$222)-Assumptions!Z$222)*(Assumptions!$C$66+Assumptions!$C$67)+IF(((Assumptions!$D$96*IF(Assumptions!Z$206=2027,1+Assumptions!$F$193,1))/12)&gt;Assumptions!Z$222,MIN(((Assumptions!$D$96*IF(Assumptions!Z$206=2027,1+Assumptions!$F$193,1))/12),8*Assumptions!Z$222)*Assumptions!$C$68+MIN(((Assumptions!$D$96*IF(Assumptions!Z$206=2027,1+Assumptions!$F$193,1))/12),4*Assumptions!Z$222)*Assumptions!$C$69,0))</f>
        <v>3185.90529066667</v>
      </c>
      <c r="AA127" s="65" t="n">
        <f aca="false">AA17*(MIN(((Assumptions!$D$96*IF(Assumptions!AA$206=2027,1+Assumptions!$F$193,1))/12),Assumptions!AA$222)*(Assumptions!$C$64+Assumptions!$C$65)+MAX(0,MIN(((Assumptions!$D$96*IF(Assumptions!AA$206=2027,1+Assumptions!$F$193,1))/12),8*Assumptions!AA$222)-Assumptions!AA$222)*(Assumptions!$C$66+Assumptions!$C$67)+IF(((Assumptions!$D$96*IF(Assumptions!AA$206=2027,1+Assumptions!$F$193,1))/12)&gt;Assumptions!AA$222,MIN(((Assumptions!$D$96*IF(Assumptions!AA$206=2027,1+Assumptions!$F$193,1))/12),8*Assumptions!AA$222)*Assumptions!$C$68+MIN(((Assumptions!$D$96*IF(Assumptions!AA$206=2027,1+Assumptions!$F$193,1))/12),4*Assumptions!AA$222)*Assumptions!$C$69,0))</f>
        <v>3185.90529027069</v>
      </c>
      <c r="AB127" s="65" t="n">
        <f aca="false">AB17*(MIN(((Assumptions!$D$96*IF(Assumptions!AB$206=2027,1+Assumptions!$F$193,1))/12),Assumptions!AB$222)*(Assumptions!$C$64+Assumptions!$C$65)+MAX(0,MIN(((Assumptions!$D$96*IF(Assumptions!AB$206=2027,1+Assumptions!$F$193,1))/12),8*Assumptions!AB$222)-Assumptions!AB$222)*(Assumptions!$C$66+Assumptions!$C$67)+IF(((Assumptions!$D$96*IF(Assumptions!AB$206=2027,1+Assumptions!$F$193,1))/12)&gt;Assumptions!AB$222,MIN(((Assumptions!$D$96*IF(Assumptions!AB$206=2027,1+Assumptions!$F$193,1))/12),8*Assumptions!AB$222)*Assumptions!$C$68+MIN(((Assumptions!$D$96*IF(Assumptions!AB$206=2027,1+Assumptions!$F$193,1))/12),4*Assumptions!AB$222)*Assumptions!$C$69,0))</f>
        <v>3185.90529031771</v>
      </c>
    </row>
    <row r="128" customFormat="false" ht="15" hidden="false" customHeight="false" outlineLevel="0" collapsed="false">
      <c r="A128" s="28" t="s">
        <v>1214</v>
      </c>
      <c r="B128" s="62"/>
      <c r="C128" s="64" t="n">
        <f aca="false">SUM(E128:P128)</f>
        <v>5568.09852631173</v>
      </c>
      <c r="D128" s="64" t="n">
        <f aca="false">SUM(Q128:AB128)</f>
        <v>6002.04506306646</v>
      </c>
      <c r="E128" s="65" t="n">
        <f aca="false">E18*(MIN(((Assumptions!$D$97*IF(Assumptions!E$206=2027,1+Assumptions!$F$193,1))/12),Assumptions!E$222)*(Assumptions!$C$64+Assumptions!$C$65)+MAX(0,MIN(((Assumptions!$D$97*IF(Assumptions!E$206=2027,1+Assumptions!$F$193,1))/12),8*Assumptions!E$222)-Assumptions!E$222)*(Assumptions!$C$66+Assumptions!$C$67)+IF(((Assumptions!$D$97*IF(Assumptions!E$206=2027,1+Assumptions!$F$193,1))/12)&gt;Assumptions!E$222,MIN(((Assumptions!$D$97*IF(Assumptions!E$206=2027,1+Assumptions!$F$193,1))/12),8*Assumptions!E$222)*Assumptions!$C$68+MIN(((Assumptions!$D$97*IF(Assumptions!E$206=2027,1+Assumptions!$F$193,1))/12),4*Assumptions!E$222)*Assumptions!$C$69,0))</f>
        <v>534.666666666667</v>
      </c>
      <c r="F128" s="65" t="n">
        <f aca="false">F18*(MIN(((Assumptions!$D$97*IF(Assumptions!F$206=2027,1+Assumptions!$F$193,1))/12),Assumptions!F$222)*(Assumptions!$C$64+Assumptions!$C$65)+MAX(0,MIN(((Assumptions!$D$97*IF(Assumptions!F$206=2027,1+Assumptions!$F$193,1))/12),8*Assumptions!F$222)-Assumptions!F$222)*(Assumptions!$C$66+Assumptions!$C$67)+IF(((Assumptions!$D$97*IF(Assumptions!F$206=2027,1+Assumptions!$F$193,1))/12)&gt;Assumptions!F$222,MIN(((Assumptions!$D$97*IF(Assumptions!F$206=2027,1+Assumptions!$F$193,1))/12),8*Assumptions!F$222)*Assumptions!$C$68+MIN(((Assumptions!$D$97*IF(Assumptions!F$206=2027,1+Assumptions!$F$193,1))/12),4*Assumptions!F$222)*Assumptions!$C$69,0))</f>
        <v>534.666666666667</v>
      </c>
      <c r="G128" s="65" t="n">
        <f aca="false">G18*(MIN(((Assumptions!$D$97*IF(Assumptions!G$206=2027,1+Assumptions!$F$193,1))/12),Assumptions!G$222)*(Assumptions!$C$64+Assumptions!$C$65)+MAX(0,MIN(((Assumptions!$D$97*IF(Assumptions!G$206=2027,1+Assumptions!$F$193,1))/12),8*Assumptions!G$222)-Assumptions!G$222)*(Assumptions!$C$66+Assumptions!$C$67)+IF(((Assumptions!$D$97*IF(Assumptions!G$206=2027,1+Assumptions!$F$193,1))/12)&gt;Assumptions!G$222,MIN(((Assumptions!$D$97*IF(Assumptions!G$206=2027,1+Assumptions!$F$193,1))/12),8*Assumptions!G$222)*Assumptions!$C$68+MIN(((Assumptions!$D$97*IF(Assumptions!G$206=2027,1+Assumptions!$F$193,1))/12),4*Assumptions!G$222)*Assumptions!$C$69,0))</f>
        <v>534.666666666667</v>
      </c>
      <c r="H128" s="65" t="n">
        <f aca="false">H18*(MIN(((Assumptions!$D$97*IF(Assumptions!H$206=2027,1+Assumptions!$F$193,1))/12),Assumptions!H$222)*(Assumptions!$C$64+Assumptions!$C$65)+MAX(0,MIN(((Assumptions!$D$97*IF(Assumptions!H$206=2027,1+Assumptions!$F$193,1))/12),8*Assumptions!H$222)-Assumptions!H$222)*(Assumptions!$C$66+Assumptions!$C$67)+IF(((Assumptions!$D$97*IF(Assumptions!H$206=2027,1+Assumptions!$F$193,1))/12)&gt;Assumptions!H$222,MIN(((Assumptions!$D$97*IF(Assumptions!H$206=2027,1+Assumptions!$F$193,1))/12),8*Assumptions!H$222)*Assumptions!$C$68+MIN(((Assumptions!$D$97*IF(Assumptions!H$206=2027,1+Assumptions!$F$193,1))/12),4*Assumptions!H$222)*Assumptions!$C$69,0))</f>
        <v>534.666666666667</v>
      </c>
      <c r="I128" s="65" t="n">
        <f aca="false">I18*(MIN(((Assumptions!$D$97*IF(Assumptions!I$206=2027,1+Assumptions!$F$193,1))/12),Assumptions!I$222)*(Assumptions!$C$64+Assumptions!$C$65)+MAX(0,MIN(((Assumptions!$D$97*IF(Assumptions!I$206=2027,1+Assumptions!$F$193,1))/12),8*Assumptions!I$222)-Assumptions!I$222)*(Assumptions!$C$66+Assumptions!$C$67)+IF(((Assumptions!$D$97*IF(Assumptions!I$206=2027,1+Assumptions!$F$193,1))/12)&gt;Assumptions!I$222,MIN(((Assumptions!$D$97*IF(Assumptions!I$206=2027,1+Assumptions!$F$193,1))/12),8*Assumptions!I$222)*Assumptions!$C$68+MIN(((Assumptions!$D$97*IF(Assumptions!I$206=2027,1+Assumptions!$F$193,1))/12),4*Assumptions!I$222)*Assumptions!$C$69,0))</f>
        <v>534.666666666667</v>
      </c>
      <c r="J128" s="65" t="n">
        <f aca="false">J18*(MIN(((Assumptions!$D$97*IF(Assumptions!J$206=2027,1+Assumptions!$F$193,1))/12),Assumptions!J$222)*(Assumptions!$C$64+Assumptions!$C$65)+MAX(0,MIN(((Assumptions!$D$97*IF(Assumptions!J$206=2027,1+Assumptions!$F$193,1))/12),8*Assumptions!J$222)-Assumptions!J$222)*(Assumptions!$C$66+Assumptions!$C$67)+IF(((Assumptions!$D$97*IF(Assumptions!J$206=2027,1+Assumptions!$F$193,1))/12)&gt;Assumptions!J$222,MIN(((Assumptions!$D$97*IF(Assumptions!J$206=2027,1+Assumptions!$F$193,1))/12),8*Assumptions!J$222)*Assumptions!$C$68+MIN(((Assumptions!$D$97*IF(Assumptions!J$206=2027,1+Assumptions!$F$193,1))/12),4*Assumptions!J$222)*Assumptions!$C$69,0))</f>
        <v>534.666666666667</v>
      </c>
      <c r="K128" s="65" t="n">
        <f aca="false">K18*(MIN(((Assumptions!$D$97*IF(Assumptions!K$206=2027,1+Assumptions!$F$193,1))/12),Assumptions!K$222)*(Assumptions!$C$64+Assumptions!$C$65)+MAX(0,MIN(((Assumptions!$D$97*IF(Assumptions!K$206=2027,1+Assumptions!$F$193,1))/12),8*Assumptions!K$222)-Assumptions!K$222)*(Assumptions!$C$66+Assumptions!$C$67)+IF(((Assumptions!$D$97*IF(Assumptions!K$206=2027,1+Assumptions!$F$193,1))/12)&gt;Assumptions!K$222,MIN(((Assumptions!$D$97*IF(Assumptions!K$206=2027,1+Assumptions!$F$193,1))/12),8*Assumptions!K$222)*Assumptions!$C$68+MIN(((Assumptions!$D$97*IF(Assumptions!K$206=2027,1+Assumptions!$F$193,1))/12),4*Assumptions!K$222)*Assumptions!$C$69,0))</f>
        <v>401</v>
      </c>
      <c r="L128" s="65" t="n">
        <f aca="false">L18*(MIN(((Assumptions!$D$97*IF(Assumptions!L$206=2027,1+Assumptions!$F$193,1))/12),Assumptions!L$222)*(Assumptions!$C$64+Assumptions!$C$65)+MAX(0,MIN(((Assumptions!$D$97*IF(Assumptions!L$206=2027,1+Assumptions!$F$193,1))/12),8*Assumptions!L$222)-Assumptions!L$222)*(Assumptions!$C$66+Assumptions!$C$67)+IF(((Assumptions!$D$97*IF(Assumptions!L$206=2027,1+Assumptions!$F$193,1))/12)&gt;Assumptions!L$222,MIN(((Assumptions!$D$97*IF(Assumptions!L$206=2027,1+Assumptions!$F$193,1))/12),8*Assumptions!L$222)*Assumptions!$C$68+MIN(((Assumptions!$D$97*IF(Assumptions!L$206=2027,1+Assumptions!$F$193,1))/12),4*Assumptions!L$222)*Assumptions!$C$69,0))</f>
        <v>401</v>
      </c>
      <c r="M128" s="65" t="n">
        <f aca="false">M18*(MIN(((Assumptions!$D$97*IF(Assumptions!M$206=2027,1+Assumptions!$F$193,1))/12),Assumptions!M$222)*(Assumptions!$C$64+Assumptions!$C$65)+MAX(0,MIN(((Assumptions!$D$97*IF(Assumptions!M$206=2027,1+Assumptions!$F$193,1))/12),8*Assumptions!M$222)-Assumptions!M$222)*(Assumptions!$C$66+Assumptions!$C$67)+IF(((Assumptions!$D$97*IF(Assumptions!M$206=2027,1+Assumptions!$F$193,1))/12)&gt;Assumptions!M$222,MIN(((Assumptions!$D$97*IF(Assumptions!M$206=2027,1+Assumptions!$F$193,1))/12),8*Assumptions!M$222)*Assumptions!$C$68+MIN(((Assumptions!$D$97*IF(Assumptions!M$206=2027,1+Assumptions!$F$193,1))/12),4*Assumptions!M$222)*Assumptions!$C$69,0))</f>
        <v>394.316666666667</v>
      </c>
      <c r="N128" s="65" t="n">
        <f aca="false">N18*(MIN(((Assumptions!$D$97*IF(Assumptions!N$206=2027,1+Assumptions!$F$193,1))/12),Assumptions!N$222)*(Assumptions!$C$64+Assumptions!$C$65)+MAX(0,MIN(((Assumptions!$D$97*IF(Assumptions!N$206=2027,1+Assumptions!$F$193,1))/12),8*Assumptions!N$222)-Assumptions!N$222)*(Assumptions!$C$66+Assumptions!$C$67)+IF(((Assumptions!$D$97*IF(Assumptions!N$206=2027,1+Assumptions!$F$193,1))/12)&gt;Assumptions!N$222,MIN(((Assumptions!$D$97*IF(Assumptions!N$206=2027,1+Assumptions!$F$193,1))/12),8*Assumptions!N$222)*Assumptions!$C$68+MIN(((Assumptions!$D$97*IF(Assumptions!N$206=2027,1+Assumptions!$F$193,1))/12),4*Assumptions!N$222)*Assumptions!$C$69,0))</f>
        <v>387.744722222222</v>
      </c>
      <c r="O128" s="65" t="n">
        <f aca="false">O18*(MIN(((Assumptions!$D$97*IF(Assumptions!O$206=2027,1+Assumptions!$F$193,1))/12),Assumptions!O$222)*(Assumptions!$C$64+Assumptions!$C$65)+MAX(0,MIN(((Assumptions!$D$97*IF(Assumptions!O$206=2027,1+Assumptions!$F$193,1))/12),8*Assumptions!O$222)-Assumptions!O$222)*(Assumptions!$C$66+Assumptions!$C$67)+IF(((Assumptions!$D$97*IF(Assumptions!O$206=2027,1+Assumptions!$F$193,1))/12)&gt;Assumptions!O$222,MIN(((Assumptions!$D$97*IF(Assumptions!O$206=2027,1+Assumptions!$F$193,1))/12),8*Assumptions!O$222)*Assumptions!$C$68+MIN(((Assumptions!$D$97*IF(Assumptions!O$206=2027,1+Assumptions!$F$193,1))/12),4*Assumptions!O$222)*Assumptions!$C$69,0))</f>
        <v>387.965643518519</v>
      </c>
      <c r="P128" s="65" t="n">
        <f aca="false">P18*(MIN(((Assumptions!$D$97*IF(Assumptions!P$206=2027,1+Assumptions!$F$193,1))/12),Assumptions!P$222)*(Assumptions!$C$64+Assumptions!$C$65)+MAX(0,MIN(((Assumptions!$D$97*IF(Assumptions!P$206=2027,1+Assumptions!$F$193,1))/12),8*Assumptions!P$222)-Assumptions!P$222)*(Assumptions!$C$66+Assumptions!$C$67)+IF(((Assumptions!$D$97*IF(Assumptions!P$206=2027,1+Assumptions!$F$193,1))/12)&gt;Assumptions!P$222,MIN(((Assumptions!$D$97*IF(Assumptions!P$206=2027,1+Assumptions!$F$193,1))/12),8*Assumptions!P$222)*Assumptions!$C$68+MIN(((Assumptions!$D$97*IF(Assumptions!P$206=2027,1+Assumptions!$F$193,1))/12),4*Assumptions!P$222)*Assumptions!$C$69,0))</f>
        <v>388.071493904321</v>
      </c>
      <c r="Q128" s="65" t="n">
        <f aca="false">Q18*(MIN(((Assumptions!$D$97*IF(Assumptions!Q$206=2027,1+Assumptions!$F$193,1))/12),Assumptions!Q$222)*(Assumptions!$C$64+Assumptions!$C$65)+MAX(0,MIN(((Assumptions!$D$97*IF(Assumptions!Q$206=2027,1+Assumptions!$F$193,1))/12),8*Assumptions!Q$222)-Assumptions!Q$222)*(Assumptions!$C$66+Assumptions!$C$67)+IF(((Assumptions!$D$97*IF(Assumptions!Q$206=2027,1+Assumptions!$F$193,1))/12)&gt;Assumptions!Q$222,MIN(((Assumptions!$D$97*IF(Assumptions!Q$206=2027,1+Assumptions!$F$193,1))/12),8*Assumptions!Q$222)*Assumptions!$C$68+MIN(((Assumptions!$D$97*IF(Assumptions!Q$206=2027,1+Assumptions!$F$193,1))/12),4*Assumptions!Q$222)*Assumptions!$C$69,0))</f>
        <v>399.708029140908</v>
      </c>
      <c r="R128" s="65" t="n">
        <f aca="false">R18*(MIN(((Assumptions!$D$97*IF(Assumptions!R$206=2027,1+Assumptions!$F$193,1))/12),Assumptions!R$222)*(Assumptions!$C$64+Assumptions!$C$65)+MAX(0,MIN(((Assumptions!$D$97*IF(Assumptions!R$206=2027,1+Assumptions!$F$193,1))/12),8*Assumptions!R$222)-Assumptions!R$222)*(Assumptions!$C$66+Assumptions!$C$67)+IF(((Assumptions!$D$97*IF(Assumptions!R$206=2027,1+Assumptions!$F$193,1))/12)&gt;Assumptions!R$222,MIN(((Assumptions!$D$97*IF(Assumptions!R$206=2027,1+Assumptions!$F$193,1))/12),8*Assumptions!R$222)*Assumptions!$C$68+MIN(((Assumptions!$D$97*IF(Assumptions!R$206=2027,1+Assumptions!$F$193,1))/12),4*Assumptions!R$222)*Assumptions!$C$69,0))</f>
        <v>399.706305535627</v>
      </c>
      <c r="S128" s="65" t="n">
        <f aca="false">S18*(MIN(((Assumptions!$D$97*IF(Assumptions!S$206=2027,1+Assumptions!$F$193,1))/12),Assumptions!S$222)*(Assumptions!$C$64+Assumptions!$C$65)+MAX(0,MIN(((Assumptions!$D$97*IF(Assumptions!S$206=2027,1+Assumptions!$F$193,1))/12),8*Assumptions!S$222)-Assumptions!S$222)*(Assumptions!$C$66+Assumptions!$C$67)+IF(((Assumptions!$D$97*IF(Assumptions!S$206=2027,1+Assumptions!$F$193,1))/12)&gt;Assumptions!S$222,MIN(((Assumptions!$D$97*IF(Assumptions!S$206=2027,1+Assumptions!$F$193,1))/12),8*Assumptions!S$222)*Assumptions!$C$68+MIN(((Assumptions!$D$97*IF(Assumptions!S$206=2027,1+Assumptions!$F$193,1))/12),4*Assumptions!S$222)*Assumptions!$C$69,0))</f>
        <v>399.706427755391</v>
      </c>
      <c r="T128" s="65" t="n">
        <f aca="false">T18*(MIN(((Assumptions!$D$97*IF(Assumptions!T$206=2027,1+Assumptions!$F$193,1))/12),Assumptions!T$222)*(Assumptions!$C$64+Assumptions!$C$65)+MAX(0,MIN(((Assumptions!$D$97*IF(Assumptions!T$206=2027,1+Assumptions!$F$193,1))/12),8*Assumptions!T$222)-Assumptions!T$222)*(Assumptions!$C$66+Assumptions!$C$67)+IF(((Assumptions!$D$97*IF(Assumptions!T$206=2027,1+Assumptions!$F$193,1))/12)&gt;Assumptions!T$222,MIN(((Assumptions!$D$97*IF(Assumptions!T$206=2027,1+Assumptions!$F$193,1))/12),8*Assumptions!T$222)*Assumptions!$C$68+MIN(((Assumptions!$D$97*IF(Assumptions!T$206=2027,1+Assumptions!$F$193,1))/12),4*Assumptions!T$222)*Assumptions!$C$69,0))</f>
        <v>537.383121111816</v>
      </c>
      <c r="U128" s="65" t="n">
        <f aca="false">U18*(MIN(((Assumptions!$D$97*IF(Assumptions!U$206=2027,1+Assumptions!$F$193,1))/12),Assumptions!U$222)*(Assumptions!$C$64+Assumptions!$C$65)+MAX(0,MIN(((Assumptions!$D$97*IF(Assumptions!U$206=2027,1+Assumptions!$F$193,1))/12),8*Assumptions!U$222)-Assumptions!U$222)*(Assumptions!$C$66+Assumptions!$C$67)+IF(((Assumptions!$D$97*IF(Assumptions!U$206=2027,1+Assumptions!$F$193,1))/12)&gt;Assumptions!U$222,MIN(((Assumptions!$D$97*IF(Assumptions!U$206=2027,1+Assumptions!$F$193,1))/12),8*Assumptions!U$222)*Assumptions!$C$68+MIN(((Assumptions!$D$97*IF(Assumptions!U$206=2027,1+Assumptions!$F$193,1))/12),4*Assumptions!U$222)*Assumptions!$C$69,0))</f>
        <v>535.08850751888</v>
      </c>
      <c r="V128" s="65" t="n">
        <f aca="false">V18*(MIN(((Assumptions!$D$97*IF(Assumptions!V$206=2027,1+Assumptions!$F$193,1))/12),Assumptions!V$222)*(Assumptions!$C$64+Assumptions!$C$65)+MAX(0,MIN(((Assumptions!$D$97*IF(Assumptions!V$206=2027,1+Assumptions!$F$193,1))/12),8*Assumptions!V$222)-Assumptions!V$222)*(Assumptions!$C$66+Assumptions!$C$67)+IF(((Assumptions!$D$97*IF(Assumptions!V$206=2027,1+Assumptions!$F$193,1))/12)&gt;Assumptions!V$222,MIN(((Assumptions!$D$97*IF(Assumptions!V$206=2027,1+Assumptions!$F$193,1))/12),8*Assumptions!V$222)*Assumptions!$C$68+MIN(((Assumptions!$D$97*IF(Assumptions!V$206=2027,1+Assumptions!$F$193,1))/12),4*Assumptions!V$222)*Assumptions!$C$69,0))</f>
        <v>532.832139522822</v>
      </c>
      <c r="W128" s="65" t="n">
        <f aca="false">W18*(MIN(((Assumptions!$D$97*IF(Assumptions!W$206=2027,1+Assumptions!$F$193,1))/12),Assumptions!W$222)*(Assumptions!$C$64+Assumptions!$C$65)+MAX(0,MIN(((Assumptions!$D$97*IF(Assumptions!W$206=2027,1+Assumptions!$F$193,1))/12),8*Assumptions!W$222)-Assumptions!W$222)*(Assumptions!$C$66+Assumptions!$C$67)+IF(((Assumptions!$D$97*IF(Assumptions!W$206=2027,1+Assumptions!$F$193,1))/12)&gt;Assumptions!W$222,MIN(((Assumptions!$D$97*IF(Assumptions!W$206=2027,1+Assumptions!$F$193,1))/12),8*Assumptions!W$222)*Assumptions!$C$68+MIN(((Assumptions!$D$97*IF(Assumptions!W$206=2027,1+Assumptions!$F$193,1))/12),4*Assumptions!W$222)*Assumptions!$C$69,0))</f>
        <v>532.907989215972</v>
      </c>
      <c r="X128" s="65" t="n">
        <f aca="false">X18*(MIN(((Assumptions!$D$97*IF(Assumptions!X$206=2027,1+Assumptions!$F$193,1))/12),Assumptions!X$222)*(Assumptions!$C$64+Assumptions!$C$65)+MAX(0,MIN(((Assumptions!$D$97*IF(Assumptions!X$206=2027,1+Assumptions!$F$193,1))/12),8*Assumptions!X$222)-Assumptions!X$222)*(Assumptions!$C$66+Assumptions!$C$67)+IF(((Assumptions!$D$97*IF(Assumptions!X$206=2027,1+Assumptions!$F$193,1))/12)&gt;Assumptions!X$222,MIN(((Assumptions!$D$97*IF(Assumptions!X$206=2027,1+Assumptions!$F$193,1))/12),8*Assumptions!X$222)*Assumptions!$C$68+MIN(((Assumptions!$D$97*IF(Assumptions!X$206=2027,1+Assumptions!$F$193,1))/12),4*Assumptions!X$222)*Assumptions!$C$69,0))</f>
        <v>532.944331187687</v>
      </c>
      <c r="Y128" s="65" t="n">
        <f aca="false">Y18*(MIN(((Assumptions!$D$97*IF(Assumptions!Y$206=2027,1+Assumptions!$F$193,1))/12),Assumptions!Y$222)*(Assumptions!$C$64+Assumptions!$C$65)+MAX(0,MIN(((Assumptions!$D$97*IF(Assumptions!Y$206=2027,1+Assumptions!$F$193,1))/12),8*Assumptions!Y$222)-Assumptions!Y$222)*(Assumptions!$C$66+Assumptions!$C$67)+IF(((Assumptions!$D$97*IF(Assumptions!Y$206=2027,1+Assumptions!$F$193,1))/12)&gt;Assumptions!Y$222,MIN(((Assumptions!$D$97*IF(Assumptions!Y$206=2027,1+Assumptions!$F$193,1))/12),8*Assumptions!Y$222)*Assumptions!$C$68+MIN(((Assumptions!$D$97*IF(Assumptions!Y$206=2027,1+Assumptions!$F$193,1))/12),4*Assumptions!Y$222)*Assumptions!$C$69,0))</f>
        <v>532.942461326606</v>
      </c>
      <c r="Z128" s="65" t="n">
        <f aca="false">Z18*(MIN(((Assumptions!$D$97*IF(Assumptions!Z$206=2027,1+Assumptions!$F$193,1))/12),Assumptions!Z$222)*(Assumptions!$C$64+Assumptions!$C$65)+MAX(0,MIN(((Assumptions!$D$97*IF(Assumptions!Z$206=2027,1+Assumptions!$F$193,1))/12),8*Assumptions!Z$222)-Assumptions!Z$222)*(Assumptions!$C$66+Assumptions!$C$67)+IF(((Assumptions!$D$97*IF(Assumptions!Z$206=2027,1+Assumptions!$F$193,1))/12)&gt;Assumptions!Z$222,MIN(((Assumptions!$D$97*IF(Assumptions!Z$206=2027,1+Assumptions!$F$193,1))/12),8*Assumptions!Z$222)*Assumptions!$C$68+MIN(((Assumptions!$D$97*IF(Assumptions!Z$206=2027,1+Assumptions!$F$193,1))/12),4*Assumptions!Z$222)*Assumptions!$C$69,0))</f>
        <v>532.941886791428</v>
      </c>
      <c r="AA128" s="65" t="n">
        <f aca="false">AA18*(MIN(((Assumptions!$D$97*IF(Assumptions!AA$206=2027,1+Assumptions!$F$193,1))/12),Assumptions!AA$222)*(Assumptions!$C$64+Assumptions!$C$65)+MAX(0,MIN(((Assumptions!$D$97*IF(Assumptions!AA$206=2027,1+Assumptions!$F$193,1))/12),8*Assumptions!AA$222)-Assumptions!AA$222)*(Assumptions!$C$66+Assumptions!$C$67)+IF(((Assumptions!$D$97*IF(Assumptions!AA$206=2027,1+Assumptions!$F$193,1))/12)&gt;Assumptions!AA$222,MIN(((Assumptions!$D$97*IF(Assumptions!AA$206=2027,1+Assumptions!$F$193,1))/12),8*Assumptions!AA$222)*Assumptions!$C$68+MIN(((Assumptions!$D$97*IF(Assumptions!AA$206=2027,1+Assumptions!$F$193,1))/12),4*Assumptions!AA$222)*Assumptions!$C$69,0))</f>
        <v>532.941927531366</v>
      </c>
      <c r="AB128" s="65" t="n">
        <f aca="false">AB18*(MIN(((Assumptions!$D$97*IF(Assumptions!AB$206=2027,1+Assumptions!$F$193,1))/12),Assumptions!AB$222)*(Assumptions!$C$64+Assumptions!$C$65)+MAX(0,MIN(((Assumptions!$D$97*IF(Assumptions!AB$206=2027,1+Assumptions!$F$193,1))/12),8*Assumptions!AB$222)-Assumptions!AB$222)*(Assumptions!$C$66+Assumptions!$C$67)+IF(((Assumptions!$D$97*IF(Assumptions!AB$206=2027,1+Assumptions!$F$193,1))/12)&gt;Assumptions!AB$222,MIN(((Assumptions!$D$97*IF(Assumptions!AB$206=2027,1+Assumptions!$F$193,1))/12),8*Assumptions!AB$222)*Assumptions!$C$68+MIN(((Assumptions!$D$97*IF(Assumptions!AB$206=2027,1+Assumptions!$F$193,1))/12),4*Assumptions!AB$222)*Assumptions!$C$69,0))</f>
        <v>532.941936427953</v>
      </c>
    </row>
    <row r="129" customFormat="false" ht="15" hidden="false" customHeight="false" outlineLevel="0" collapsed="false">
      <c r="A129" s="28" t="s">
        <v>1215</v>
      </c>
      <c r="B129" s="62"/>
      <c r="C129" s="64" t="n">
        <f aca="false">SUM(E129:P129)</f>
        <v>14052.8108820568</v>
      </c>
      <c r="D129" s="64" t="n">
        <f aca="false">SUM(Q129:AB129)</f>
        <v>17794.5290529857</v>
      </c>
      <c r="E129" s="65" t="n">
        <f aca="false">E19*(MIN(((Assumptions!$D$98*IF(Assumptions!E$206=2027,1+Assumptions!$F$193,1))/12),Assumptions!E$222)*(Assumptions!$C$64+Assumptions!$C$65)+MAX(0,MIN(((Assumptions!$D$98*IF(Assumptions!E$206=2027,1+Assumptions!$F$193,1))/12),8*Assumptions!E$222)-Assumptions!E$222)*(Assumptions!$C$66+Assumptions!$C$67)+IF(((Assumptions!$D$98*IF(Assumptions!E$206=2027,1+Assumptions!$F$193,1))/12)&gt;Assumptions!E$222,MIN(((Assumptions!$D$98*IF(Assumptions!E$206=2027,1+Assumptions!$F$193,1))/12),8*Assumptions!E$222)*Assumptions!$C$68+MIN(((Assumptions!$D$98*IF(Assumptions!E$206=2027,1+Assumptions!$F$193,1))/12),4*Assumptions!E$222)*Assumptions!$C$69,0))</f>
        <v>996.164666666667</v>
      </c>
      <c r="F129" s="65" t="n">
        <f aca="false">F19*(MIN(((Assumptions!$D$98*IF(Assumptions!F$206=2027,1+Assumptions!$F$193,1))/12),Assumptions!F$222)*(Assumptions!$C$64+Assumptions!$C$65)+MAX(0,MIN(((Assumptions!$D$98*IF(Assumptions!F$206=2027,1+Assumptions!$F$193,1))/12),8*Assumptions!F$222)-Assumptions!F$222)*(Assumptions!$C$66+Assumptions!$C$67)+IF(((Assumptions!$D$98*IF(Assumptions!F$206=2027,1+Assumptions!$F$193,1))/12)&gt;Assumptions!F$222,MIN(((Assumptions!$D$98*IF(Assumptions!F$206=2027,1+Assumptions!$F$193,1))/12),8*Assumptions!F$222)*Assumptions!$C$68+MIN(((Assumptions!$D$98*IF(Assumptions!F$206=2027,1+Assumptions!$F$193,1))/12),4*Assumptions!F$222)*Assumptions!$C$69,0))</f>
        <v>996.164666666667</v>
      </c>
      <c r="G129" s="65" t="n">
        <f aca="false">G19*(MIN(((Assumptions!$D$98*IF(Assumptions!G$206=2027,1+Assumptions!$F$193,1))/12),Assumptions!G$222)*(Assumptions!$C$64+Assumptions!$C$65)+MAX(0,MIN(((Assumptions!$D$98*IF(Assumptions!G$206=2027,1+Assumptions!$F$193,1))/12),8*Assumptions!G$222)-Assumptions!G$222)*(Assumptions!$C$66+Assumptions!$C$67)+IF(((Assumptions!$D$98*IF(Assumptions!G$206=2027,1+Assumptions!$F$193,1))/12)&gt;Assumptions!G$222,MIN(((Assumptions!$D$98*IF(Assumptions!G$206=2027,1+Assumptions!$F$193,1))/12),8*Assumptions!G$222)*Assumptions!$C$68+MIN(((Assumptions!$D$98*IF(Assumptions!G$206=2027,1+Assumptions!$F$193,1))/12),4*Assumptions!G$222)*Assumptions!$C$69,0))</f>
        <v>996.164666666667</v>
      </c>
      <c r="H129" s="65" t="n">
        <f aca="false">H19*(MIN(((Assumptions!$D$98*IF(Assumptions!H$206=2027,1+Assumptions!$F$193,1))/12),Assumptions!H$222)*(Assumptions!$C$64+Assumptions!$C$65)+MAX(0,MIN(((Assumptions!$D$98*IF(Assumptions!H$206=2027,1+Assumptions!$F$193,1))/12),8*Assumptions!H$222)-Assumptions!H$222)*(Assumptions!$C$66+Assumptions!$C$67)+IF(((Assumptions!$D$98*IF(Assumptions!H$206=2027,1+Assumptions!$F$193,1))/12)&gt;Assumptions!H$222,MIN(((Assumptions!$D$98*IF(Assumptions!H$206=2027,1+Assumptions!$F$193,1))/12),8*Assumptions!H$222)*Assumptions!$C$68+MIN(((Assumptions!$D$98*IF(Assumptions!H$206=2027,1+Assumptions!$F$193,1))/12),4*Assumptions!H$222)*Assumptions!$C$69,0))</f>
        <v>1245.20583333333</v>
      </c>
      <c r="I129" s="65" t="n">
        <f aca="false">I19*(MIN(((Assumptions!$D$98*IF(Assumptions!I$206=2027,1+Assumptions!$F$193,1))/12),Assumptions!I$222)*(Assumptions!$C$64+Assumptions!$C$65)+MAX(0,MIN(((Assumptions!$D$98*IF(Assumptions!I$206=2027,1+Assumptions!$F$193,1))/12),8*Assumptions!I$222)-Assumptions!I$222)*(Assumptions!$C$66+Assumptions!$C$67)+IF(((Assumptions!$D$98*IF(Assumptions!I$206=2027,1+Assumptions!$F$193,1))/12)&gt;Assumptions!I$222,MIN(((Assumptions!$D$98*IF(Assumptions!I$206=2027,1+Assumptions!$F$193,1))/12),8*Assumptions!I$222)*Assumptions!$C$68+MIN(((Assumptions!$D$98*IF(Assumptions!I$206=2027,1+Assumptions!$F$193,1))/12),4*Assumptions!I$222)*Assumptions!$C$69,0))</f>
        <v>1245.20583333333</v>
      </c>
      <c r="J129" s="65" t="n">
        <f aca="false">J19*(MIN(((Assumptions!$D$98*IF(Assumptions!J$206=2027,1+Assumptions!$F$193,1))/12),Assumptions!J$222)*(Assumptions!$C$64+Assumptions!$C$65)+MAX(0,MIN(((Assumptions!$D$98*IF(Assumptions!J$206=2027,1+Assumptions!$F$193,1))/12),8*Assumptions!J$222)-Assumptions!J$222)*(Assumptions!$C$66+Assumptions!$C$67)+IF(((Assumptions!$D$98*IF(Assumptions!J$206=2027,1+Assumptions!$F$193,1))/12)&gt;Assumptions!J$222,MIN(((Assumptions!$D$98*IF(Assumptions!J$206=2027,1+Assumptions!$F$193,1))/12),8*Assumptions!J$222)*Assumptions!$C$68+MIN(((Assumptions!$D$98*IF(Assumptions!J$206=2027,1+Assumptions!$F$193,1))/12),4*Assumptions!J$222)*Assumptions!$C$69,0))</f>
        <v>1245.20583333333</v>
      </c>
      <c r="K129" s="65" t="n">
        <f aca="false">K19*(MIN(((Assumptions!$D$98*IF(Assumptions!K$206=2027,1+Assumptions!$F$193,1))/12),Assumptions!K$222)*(Assumptions!$C$64+Assumptions!$C$65)+MAX(0,MIN(((Assumptions!$D$98*IF(Assumptions!K$206=2027,1+Assumptions!$F$193,1))/12),8*Assumptions!K$222)-Assumptions!K$222)*(Assumptions!$C$66+Assumptions!$C$67)+IF(((Assumptions!$D$98*IF(Assumptions!K$206=2027,1+Assumptions!$F$193,1))/12)&gt;Assumptions!K$222,MIN(((Assumptions!$D$98*IF(Assumptions!K$206=2027,1+Assumptions!$F$193,1))/12),8*Assumptions!K$222)*Assumptions!$C$68+MIN(((Assumptions!$D$98*IF(Assumptions!K$206=2027,1+Assumptions!$F$193,1))/12),4*Assumptions!K$222)*Assumptions!$C$69,0))</f>
        <v>1245.20583333333</v>
      </c>
      <c r="L129" s="65" t="n">
        <f aca="false">L19*(MIN(((Assumptions!$D$98*IF(Assumptions!L$206=2027,1+Assumptions!$F$193,1))/12),Assumptions!L$222)*(Assumptions!$C$64+Assumptions!$C$65)+MAX(0,MIN(((Assumptions!$D$98*IF(Assumptions!L$206=2027,1+Assumptions!$F$193,1))/12),8*Assumptions!L$222)-Assumptions!L$222)*(Assumptions!$C$66+Assumptions!$C$67)+IF(((Assumptions!$D$98*IF(Assumptions!L$206=2027,1+Assumptions!$F$193,1))/12)&gt;Assumptions!L$222,MIN(((Assumptions!$D$98*IF(Assumptions!L$206=2027,1+Assumptions!$F$193,1))/12),8*Assumptions!L$222)*Assumptions!$C$68+MIN(((Assumptions!$D$98*IF(Assumptions!L$206=2027,1+Assumptions!$F$193,1))/12),4*Assumptions!L$222)*Assumptions!$C$69,0))</f>
        <v>1245.20583333333</v>
      </c>
      <c r="M129" s="65" t="n">
        <f aca="false">M19*(MIN(((Assumptions!$D$98*IF(Assumptions!M$206=2027,1+Assumptions!$F$193,1))/12),Assumptions!M$222)*(Assumptions!$C$64+Assumptions!$C$65)+MAX(0,MIN(((Assumptions!$D$98*IF(Assumptions!M$206=2027,1+Assumptions!$F$193,1))/12),8*Assumptions!M$222)-Assumptions!M$222)*(Assumptions!$C$66+Assumptions!$C$67)+IF(((Assumptions!$D$98*IF(Assumptions!M$206=2027,1+Assumptions!$F$193,1))/12)&gt;Assumptions!M$222,MIN(((Assumptions!$D$98*IF(Assumptions!M$206=2027,1+Assumptions!$F$193,1))/12),8*Assumptions!M$222)*Assumptions!$C$68+MIN(((Assumptions!$D$98*IF(Assumptions!M$206=2027,1+Assumptions!$F$193,1))/12),4*Assumptions!M$222)*Assumptions!$C$69,0))</f>
        <v>1224.45240277778</v>
      </c>
      <c r="N129" s="65" t="n">
        <f aca="false">N19*(MIN(((Assumptions!$D$98*IF(Assumptions!N$206=2027,1+Assumptions!$F$193,1))/12),Assumptions!N$222)*(Assumptions!$C$64+Assumptions!$C$65)+MAX(0,MIN(((Assumptions!$D$98*IF(Assumptions!N$206=2027,1+Assumptions!$F$193,1))/12),8*Assumptions!N$222)-Assumptions!N$222)*(Assumptions!$C$66+Assumptions!$C$67)+IF(((Assumptions!$D$98*IF(Assumptions!N$206=2027,1+Assumptions!$F$193,1))/12)&gt;Assumptions!N$222,MIN(((Assumptions!$D$98*IF(Assumptions!N$206=2027,1+Assumptions!$F$193,1))/12),8*Assumptions!N$222)*Assumptions!$C$68+MIN(((Assumptions!$D$98*IF(Assumptions!N$206=2027,1+Assumptions!$F$193,1))/12),4*Assumptions!N$222)*Assumptions!$C$69,0))</f>
        <v>1204.04486273148</v>
      </c>
      <c r="O129" s="65" t="n">
        <f aca="false">O19*(MIN(((Assumptions!$D$98*IF(Assumptions!O$206=2027,1+Assumptions!$F$193,1))/12),Assumptions!O$222)*(Assumptions!$C$64+Assumptions!$C$65)+MAX(0,MIN(((Assumptions!$D$98*IF(Assumptions!O$206=2027,1+Assumptions!$F$193,1))/12),8*Assumptions!O$222)-Assumptions!O$222)*(Assumptions!$C$66+Assumptions!$C$67)+IF(((Assumptions!$D$98*IF(Assumptions!O$206=2027,1+Assumptions!$F$193,1))/12)&gt;Assumptions!O$222,MIN(((Assumptions!$D$98*IF(Assumptions!O$206=2027,1+Assumptions!$F$193,1))/12),8*Assumptions!O$222)*Assumptions!$C$68+MIN(((Assumptions!$D$98*IF(Assumptions!O$206=2027,1+Assumptions!$F$193,1))/12),4*Assumptions!O$222)*Assumptions!$C$69,0))</f>
        <v>1204.73087890818</v>
      </c>
      <c r="P129" s="65" t="n">
        <f aca="false">P19*(MIN(((Assumptions!$D$98*IF(Assumptions!P$206=2027,1+Assumptions!$F$193,1))/12),Assumptions!P$222)*(Assumptions!$C$64+Assumptions!$C$65)+MAX(0,MIN(((Assumptions!$D$98*IF(Assumptions!P$206=2027,1+Assumptions!$F$193,1))/12),8*Assumptions!P$222)-Assumptions!P$222)*(Assumptions!$C$66+Assumptions!$C$67)+IF(((Assumptions!$D$98*IF(Assumptions!P$206=2027,1+Assumptions!$F$193,1))/12)&gt;Assumptions!P$222,MIN(((Assumptions!$D$98*IF(Assumptions!P$206=2027,1+Assumptions!$F$193,1))/12),8*Assumptions!P$222)*Assumptions!$C$68+MIN(((Assumptions!$D$98*IF(Assumptions!P$206=2027,1+Assumptions!$F$193,1))/12),4*Assumptions!P$222)*Assumptions!$C$69,0))</f>
        <v>1205.05957097267</v>
      </c>
      <c r="Q129" s="65" t="n">
        <f aca="false">Q19*(MIN(((Assumptions!$D$98*IF(Assumptions!Q$206=2027,1+Assumptions!$F$193,1))/12),Assumptions!Q$222)*(Assumptions!$C$64+Assumptions!$C$65)+MAX(0,MIN(((Assumptions!$D$98*IF(Assumptions!Q$206=2027,1+Assumptions!$F$193,1))/12),8*Assumptions!Q$222)-Assumptions!Q$222)*(Assumptions!$C$66+Assumptions!$C$67)+IF(((Assumptions!$D$98*IF(Assumptions!Q$206=2027,1+Assumptions!$F$193,1))/12)&gt;Assumptions!Q$222,MIN(((Assumptions!$D$98*IF(Assumptions!Q$206=2027,1+Assumptions!$F$193,1))/12),8*Assumptions!Q$222)*Assumptions!$C$68+MIN(((Assumptions!$D$98*IF(Assumptions!Q$206=2027,1+Assumptions!$F$193,1))/12),4*Assumptions!Q$222)*Assumptions!$C$69,0))</f>
        <v>1252.28703917647</v>
      </c>
      <c r="R129" s="65" t="n">
        <f aca="false">R19*(MIN(((Assumptions!$D$98*IF(Assumptions!R$206=2027,1+Assumptions!$F$193,1))/12),Assumptions!R$222)*(Assumptions!$C$64+Assumptions!$C$65)+MAX(0,MIN(((Assumptions!$D$98*IF(Assumptions!R$206=2027,1+Assumptions!$F$193,1))/12),8*Assumptions!R$222)-Assumptions!R$222)*(Assumptions!$C$66+Assumptions!$C$67)+IF(((Assumptions!$D$98*IF(Assumptions!R$206=2027,1+Assumptions!$F$193,1))/12)&gt;Assumptions!R$222,MIN(((Assumptions!$D$98*IF(Assumptions!R$206=2027,1+Assumptions!$F$193,1))/12),8*Assumptions!R$222)*Assumptions!$C$68+MIN(((Assumptions!$D$98*IF(Assumptions!R$206=2027,1+Assumptions!$F$193,1))/12),4*Assumptions!R$222)*Assumptions!$C$69,0))</f>
        <v>1511.0866057801</v>
      </c>
      <c r="S129" s="65" t="n">
        <f aca="false">S19*(MIN(((Assumptions!$D$98*IF(Assumptions!S$206=2027,1+Assumptions!$F$193,1))/12),Assumptions!S$222)*(Assumptions!$C$64+Assumptions!$C$65)+MAX(0,MIN(((Assumptions!$D$98*IF(Assumptions!S$206=2027,1+Assumptions!$F$193,1))/12),8*Assumptions!S$222)-Assumptions!S$222)*(Assumptions!$C$66+Assumptions!$C$67)+IF(((Assumptions!$D$98*IF(Assumptions!S$206=2027,1+Assumptions!$F$193,1))/12)&gt;Assumptions!S$222,MIN(((Assumptions!$D$98*IF(Assumptions!S$206=2027,1+Assumptions!$F$193,1))/12),8*Assumptions!S$222)*Assumptions!$C$68+MIN(((Assumptions!$D$98*IF(Assumptions!S$206=2027,1+Assumptions!$F$193,1))/12),4*Assumptions!S$222)*Assumptions!$C$69,0))</f>
        <v>1506.77357258406</v>
      </c>
      <c r="T129" s="65" t="n">
        <f aca="false">T19*(MIN(((Assumptions!$D$98*IF(Assumptions!T$206=2027,1+Assumptions!$F$193,1))/12),Assumptions!T$222)*(Assumptions!$C$64+Assumptions!$C$65)+MAX(0,MIN(((Assumptions!$D$98*IF(Assumptions!T$206=2027,1+Assumptions!$F$193,1))/12),8*Assumptions!T$222)-Assumptions!T$222)*(Assumptions!$C$66+Assumptions!$C$67)+IF(((Assumptions!$D$98*IF(Assumptions!T$206=2027,1+Assumptions!$F$193,1))/12)&gt;Assumptions!T$222,MIN(((Assumptions!$D$98*IF(Assumptions!T$206=2027,1+Assumptions!$F$193,1))/12),8*Assumptions!T$222)*Assumptions!$C$68+MIN(((Assumptions!$D$98*IF(Assumptions!T$206=2027,1+Assumptions!$F$193,1))/12),4*Assumptions!T$222)*Assumptions!$C$69,0))</f>
        <v>1502.5321303606</v>
      </c>
      <c r="U129" s="65" t="n">
        <f aca="false">U19*(MIN(((Assumptions!$D$98*IF(Assumptions!U$206=2027,1+Assumptions!$F$193,1))/12),Assumptions!U$222)*(Assumptions!$C$64+Assumptions!$C$65)+MAX(0,MIN(((Assumptions!$D$98*IF(Assumptions!U$206=2027,1+Assumptions!$F$193,1))/12),8*Assumptions!U$222)-Assumptions!U$222)*(Assumptions!$C$66+Assumptions!$C$67)+IF(((Assumptions!$D$98*IF(Assumptions!U$206=2027,1+Assumptions!$F$193,1))/12)&gt;Assumptions!U$222,MIN(((Assumptions!$D$98*IF(Assumptions!U$206=2027,1+Assumptions!$F$193,1))/12),8*Assumptions!U$222)*Assumptions!$C$68+MIN(((Assumptions!$D$98*IF(Assumptions!U$206=2027,1+Assumptions!$F$193,1))/12),4*Assumptions!U$222)*Assumptions!$C$69,0))</f>
        <v>1502.67470495092</v>
      </c>
      <c r="V129" s="65" t="n">
        <f aca="false">V19*(MIN(((Assumptions!$D$98*IF(Assumptions!V$206=2027,1+Assumptions!$F$193,1))/12),Assumptions!V$222)*(Assumptions!$C$64+Assumptions!$C$65)+MAX(0,MIN(((Assumptions!$D$98*IF(Assumptions!V$206=2027,1+Assumptions!$F$193,1))/12),8*Assumptions!V$222)-Assumptions!V$222)*(Assumptions!$C$66+Assumptions!$C$67)+IF(((Assumptions!$D$98*IF(Assumptions!V$206=2027,1+Assumptions!$F$193,1))/12)&gt;Assumptions!V$222,MIN(((Assumptions!$D$98*IF(Assumptions!V$206=2027,1+Assumptions!$F$193,1))/12),8*Assumptions!V$222)*Assumptions!$C$68+MIN(((Assumptions!$D$98*IF(Assumptions!V$206=2027,1+Assumptions!$F$193,1))/12),4*Assumptions!V$222)*Assumptions!$C$69,0))</f>
        <v>1502.74301941147</v>
      </c>
      <c r="W129" s="65" t="n">
        <f aca="false">W19*(MIN(((Assumptions!$D$98*IF(Assumptions!W$206=2027,1+Assumptions!$F$193,1))/12),Assumptions!W$222)*(Assumptions!$C$64+Assumptions!$C$65)+MAX(0,MIN(((Assumptions!$D$98*IF(Assumptions!W$206=2027,1+Assumptions!$F$193,1))/12),8*Assumptions!W$222)-Assumptions!W$222)*(Assumptions!$C$66+Assumptions!$C$67)+IF(((Assumptions!$D$98*IF(Assumptions!W$206=2027,1+Assumptions!$F$193,1))/12)&gt;Assumptions!W$222,MIN(((Assumptions!$D$98*IF(Assumptions!W$206=2027,1+Assumptions!$F$193,1))/12),8*Assumptions!W$222)*Assumptions!$C$68+MIN(((Assumptions!$D$98*IF(Assumptions!W$206=2027,1+Assumptions!$F$193,1))/12),4*Assumptions!W$222)*Assumptions!$C$69,0))</f>
        <v>1502.73950459396</v>
      </c>
      <c r="X129" s="65" t="n">
        <f aca="false">X19*(MIN(((Assumptions!$D$98*IF(Assumptions!X$206=2027,1+Assumptions!$F$193,1))/12),Assumptions!X$222)*(Assumptions!$C$64+Assumptions!$C$65)+MAX(0,MIN(((Assumptions!$D$98*IF(Assumptions!X$206=2027,1+Assumptions!$F$193,1))/12),8*Assumptions!X$222)-Assumptions!X$222)*(Assumptions!$C$66+Assumptions!$C$67)+IF(((Assumptions!$D$98*IF(Assumptions!X$206=2027,1+Assumptions!$F$193,1))/12)&gt;Assumptions!X$222,MIN(((Assumptions!$D$98*IF(Assumptions!X$206=2027,1+Assumptions!$F$193,1))/12),8*Assumptions!X$222)*Assumptions!$C$68+MIN(((Assumptions!$D$98*IF(Assumptions!X$206=2027,1+Assumptions!$F$193,1))/12),4*Assumptions!X$222)*Assumptions!$C$69,0))</f>
        <v>1502.73842459991</v>
      </c>
      <c r="Y129" s="65" t="n">
        <f aca="false">Y19*(MIN(((Assumptions!$D$98*IF(Assumptions!Y$206=2027,1+Assumptions!$F$193,1))/12),Assumptions!Y$222)*(Assumptions!$C$64+Assumptions!$C$65)+MAX(0,MIN(((Assumptions!$D$98*IF(Assumptions!Y$206=2027,1+Assumptions!$F$193,1))/12),8*Assumptions!Y$222)-Assumptions!Y$222)*(Assumptions!$C$66+Assumptions!$C$67)+IF(((Assumptions!$D$98*IF(Assumptions!Y$206=2027,1+Assumptions!$F$193,1))/12)&gt;Assumptions!Y$222,MIN(((Assumptions!$D$98*IF(Assumptions!Y$206=2027,1+Assumptions!$F$193,1))/12),8*Assumptions!Y$222)*Assumptions!$C$68+MIN(((Assumptions!$D$98*IF(Assumptions!Y$206=2027,1+Assumptions!$F$193,1))/12),4*Assumptions!Y$222)*Assumptions!$C$69,0))</f>
        <v>1502.7385011801</v>
      </c>
      <c r="Z129" s="65" t="n">
        <f aca="false">Z19*(MIN(((Assumptions!$D$98*IF(Assumptions!Z$206=2027,1+Assumptions!$F$193,1))/12),Assumptions!Z$222)*(Assumptions!$C$64+Assumptions!$C$65)+MAX(0,MIN(((Assumptions!$D$98*IF(Assumptions!Z$206=2027,1+Assumptions!$F$193,1))/12),8*Assumptions!Z$222)-Assumptions!Z$222)*(Assumptions!$C$66+Assumptions!$C$67)+IF(((Assumptions!$D$98*IF(Assumptions!Z$206=2027,1+Assumptions!$F$193,1))/12)&gt;Assumptions!Z$222,MIN(((Assumptions!$D$98*IF(Assumptions!Z$206=2027,1+Assumptions!$F$193,1))/12),8*Assumptions!Z$222)*Assumptions!$C$68+MIN(((Assumptions!$D$98*IF(Assumptions!Z$206=2027,1+Assumptions!$F$193,1))/12),4*Assumptions!Z$222)*Assumptions!$C$69,0))</f>
        <v>1502.73851790367</v>
      </c>
      <c r="AA129" s="65" t="n">
        <f aca="false">AA19*(MIN(((Assumptions!$D$98*IF(Assumptions!AA$206=2027,1+Assumptions!$F$193,1))/12),Assumptions!AA$222)*(Assumptions!$C$64+Assumptions!$C$65)+MAX(0,MIN(((Assumptions!$D$98*IF(Assumptions!AA$206=2027,1+Assumptions!$F$193,1))/12),8*Assumptions!AA$222)-Assumptions!AA$222)*(Assumptions!$C$66+Assumptions!$C$67)+IF(((Assumptions!$D$98*IF(Assumptions!AA$206=2027,1+Assumptions!$F$193,1))/12)&gt;Assumptions!AA$222,MIN(((Assumptions!$D$98*IF(Assumptions!AA$206=2027,1+Assumptions!$F$193,1))/12),8*Assumptions!AA$222)*Assumptions!$C$68+MIN(((Assumptions!$D$98*IF(Assumptions!AA$206=2027,1+Assumptions!$F$193,1))/12),4*Assumptions!AA$222)*Assumptions!$C$69,0))</f>
        <v>1502.7385163486</v>
      </c>
      <c r="AB129" s="65" t="n">
        <f aca="false">AB19*(MIN(((Assumptions!$D$98*IF(Assumptions!AB$206=2027,1+Assumptions!$F$193,1))/12),Assumptions!AB$222)*(Assumptions!$C$64+Assumptions!$C$65)+MAX(0,MIN(((Assumptions!$D$98*IF(Assumptions!AB$206=2027,1+Assumptions!$F$193,1))/12),8*Assumptions!AB$222)-Assumptions!AB$222)*(Assumptions!$C$66+Assumptions!$C$67)+IF(((Assumptions!$D$98*IF(Assumptions!AB$206=2027,1+Assumptions!$F$193,1))/12)&gt;Assumptions!AB$222,MIN(((Assumptions!$D$98*IF(Assumptions!AB$206=2027,1+Assumptions!$F$193,1))/12),8*Assumptions!AB$222)*Assumptions!$C$68+MIN(((Assumptions!$D$98*IF(Assumptions!AB$206=2027,1+Assumptions!$F$193,1))/12),4*Assumptions!AB$222)*Assumptions!$C$69,0))</f>
        <v>1502.7385160958</v>
      </c>
    </row>
    <row r="130" customFormat="false" ht="15" hidden="false" customHeight="false" outlineLevel="0" collapsed="false">
      <c r="A130" s="28" t="s">
        <v>1216</v>
      </c>
      <c r="B130" s="62"/>
      <c r="C130" s="64" t="n">
        <f aca="false">SUM(E130:P130)</f>
        <v>22101.1208518956</v>
      </c>
      <c r="D130" s="64" t="n">
        <f aca="false">SUM(Q130:AB130)</f>
        <v>22605.9597140064</v>
      </c>
      <c r="E130" s="65" t="n">
        <f aca="false">E20*(MIN(((Assumptions!$D$99*IF(Assumptions!E$206=2027,1+Assumptions!$F$193,1))/12),Assumptions!E$222)*(Assumptions!$C$64+Assumptions!$C$65)+MAX(0,MIN(((Assumptions!$D$99*IF(Assumptions!E$206=2027,1+Assumptions!$F$193,1))/12),8*Assumptions!E$222)-Assumptions!E$222)*(Assumptions!$C$66+Assumptions!$C$67)+IF(((Assumptions!$D$99*IF(Assumptions!E$206=2027,1+Assumptions!$F$193,1))/12)&gt;Assumptions!E$222,MIN(((Assumptions!$D$99*IF(Assumptions!E$206=2027,1+Assumptions!$F$193,1))/12),8*Assumptions!E$222)*Assumptions!$C$68+MIN(((Assumptions!$D$99*IF(Assumptions!E$206=2027,1+Assumptions!$F$193,1))/12),4*Assumptions!E$222)*Assumptions!$C$69,0))</f>
        <v>1848.89566666667</v>
      </c>
      <c r="F130" s="65" t="n">
        <f aca="false">F20*(MIN(((Assumptions!$D$99*IF(Assumptions!F$206=2027,1+Assumptions!$F$193,1))/12),Assumptions!F$222)*(Assumptions!$C$64+Assumptions!$C$65)+MAX(0,MIN(((Assumptions!$D$99*IF(Assumptions!F$206=2027,1+Assumptions!$F$193,1))/12),8*Assumptions!F$222)-Assumptions!F$222)*(Assumptions!$C$66+Assumptions!$C$67)+IF(((Assumptions!$D$99*IF(Assumptions!F$206=2027,1+Assumptions!$F$193,1))/12)&gt;Assumptions!F$222,MIN(((Assumptions!$D$99*IF(Assumptions!F$206=2027,1+Assumptions!$F$193,1))/12),8*Assumptions!F$222)*Assumptions!$C$68+MIN(((Assumptions!$D$99*IF(Assumptions!F$206=2027,1+Assumptions!$F$193,1))/12),4*Assumptions!F$222)*Assumptions!$C$69,0))</f>
        <v>1848.89566666667</v>
      </c>
      <c r="G130" s="65" t="n">
        <f aca="false">G20*(MIN(((Assumptions!$D$99*IF(Assumptions!G$206=2027,1+Assumptions!$F$193,1))/12),Assumptions!G$222)*(Assumptions!$C$64+Assumptions!$C$65)+MAX(0,MIN(((Assumptions!$D$99*IF(Assumptions!G$206=2027,1+Assumptions!$F$193,1))/12),8*Assumptions!G$222)-Assumptions!G$222)*(Assumptions!$C$66+Assumptions!$C$67)+IF(((Assumptions!$D$99*IF(Assumptions!G$206=2027,1+Assumptions!$F$193,1))/12)&gt;Assumptions!G$222,MIN(((Assumptions!$D$99*IF(Assumptions!G$206=2027,1+Assumptions!$F$193,1))/12),8*Assumptions!G$222)*Assumptions!$C$68+MIN(((Assumptions!$D$99*IF(Assumptions!G$206=2027,1+Assumptions!$F$193,1))/12),4*Assumptions!G$222)*Assumptions!$C$69,0))</f>
        <v>1848.89566666667</v>
      </c>
      <c r="H130" s="65" t="n">
        <f aca="false">H20*(MIN(((Assumptions!$D$99*IF(Assumptions!H$206=2027,1+Assumptions!$F$193,1))/12),Assumptions!H$222)*(Assumptions!$C$64+Assumptions!$C$65)+MAX(0,MIN(((Assumptions!$D$99*IF(Assumptions!H$206=2027,1+Assumptions!$F$193,1))/12),8*Assumptions!H$222)-Assumptions!H$222)*(Assumptions!$C$66+Assumptions!$C$67)+IF(((Assumptions!$D$99*IF(Assumptions!H$206=2027,1+Assumptions!$F$193,1))/12)&gt;Assumptions!H$222,MIN(((Assumptions!$D$99*IF(Assumptions!H$206=2027,1+Assumptions!$F$193,1))/12),8*Assumptions!H$222)*Assumptions!$C$68+MIN(((Assumptions!$D$99*IF(Assumptions!H$206=2027,1+Assumptions!$F$193,1))/12),4*Assumptions!H$222)*Assumptions!$C$69,0))</f>
        <v>1848.89566666667</v>
      </c>
      <c r="I130" s="65" t="n">
        <f aca="false">I20*(MIN(((Assumptions!$D$99*IF(Assumptions!I$206=2027,1+Assumptions!$F$193,1))/12),Assumptions!I$222)*(Assumptions!$C$64+Assumptions!$C$65)+MAX(0,MIN(((Assumptions!$D$99*IF(Assumptions!I$206=2027,1+Assumptions!$F$193,1))/12),8*Assumptions!I$222)-Assumptions!I$222)*(Assumptions!$C$66+Assumptions!$C$67)+IF(((Assumptions!$D$99*IF(Assumptions!I$206=2027,1+Assumptions!$F$193,1))/12)&gt;Assumptions!I$222,MIN(((Assumptions!$D$99*IF(Assumptions!I$206=2027,1+Assumptions!$F$193,1))/12),8*Assumptions!I$222)*Assumptions!$C$68+MIN(((Assumptions!$D$99*IF(Assumptions!I$206=2027,1+Assumptions!$F$193,1))/12),4*Assumptions!I$222)*Assumptions!$C$69,0))</f>
        <v>1848.89566666667</v>
      </c>
      <c r="J130" s="65" t="n">
        <f aca="false">J20*(MIN(((Assumptions!$D$99*IF(Assumptions!J$206=2027,1+Assumptions!$F$193,1))/12),Assumptions!J$222)*(Assumptions!$C$64+Assumptions!$C$65)+MAX(0,MIN(((Assumptions!$D$99*IF(Assumptions!J$206=2027,1+Assumptions!$F$193,1))/12),8*Assumptions!J$222)-Assumptions!J$222)*(Assumptions!$C$66+Assumptions!$C$67)+IF(((Assumptions!$D$99*IF(Assumptions!J$206=2027,1+Assumptions!$F$193,1))/12)&gt;Assumptions!J$222,MIN(((Assumptions!$D$99*IF(Assumptions!J$206=2027,1+Assumptions!$F$193,1))/12),8*Assumptions!J$222)*Assumptions!$C$68+MIN(((Assumptions!$D$99*IF(Assumptions!J$206=2027,1+Assumptions!$F$193,1))/12),4*Assumptions!J$222)*Assumptions!$C$69,0))</f>
        <v>1848.89566666667</v>
      </c>
      <c r="K130" s="65" t="n">
        <f aca="false">K20*(MIN(((Assumptions!$D$99*IF(Assumptions!K$206=2027,1+Assumptions!$F$193,1))/12),Assumptions!K$222)*(Assumptions!$C$64+Assumptions!$C$65)+MAX(0,MIN(((Assumptions!$D$99*IF(Assumptions!K$206=2027,1+Assumptions!$F$193,1))/12),8*Assumptions!K$222)-Assumptions!K$222)*(Assumptions!$C$66+Assumptions!$C$67)+IF(((Assumptions!$D$99*IF(Assumptions!K$206=2027,1+Assumptions!$F$193,1))/12)&gt;Assumptions!K$222,MIN(((Assumptions!$D$99*IF(Assumptions!K$206=2027,1+Assumptions!$F$193,1))/12),8*Assumptions!K$222)*Assumptions!$C$68+MIN(((Assumptions!$D$99*IF(Assumptions!K$206=2027,1+Assumptions!$F$193,1))/12),4*Assumptions!K$222)*Assumptions!$C$69,0))</f>
        <v>1848.89566666667</v>
      </c>
      <c r="L130" s="65" t="n">
        <f aca="false">L20*(MIN(((Assumptions!$D$99*IF(Assumptions!L$206=2027,1+Assumptions!$F$193,1))/12),Assumptions!L$222)*(Assumptions!$C$64+Assumptions!$C$65)+MAX(0,MIN(((Assumptions!$D$99*IF(Assumptions!L$206=2027,1+Assumptions!$F$193,1))/12),8*Assumptions!L$222)-Assumptions!L$222)*(Assumptions!$C$66+Assumptions!$C$67)+IF(((Assumptions!$D$99*IF(Assumptions!L$206=2027,1+Assumptions!$F$193,1))/12)&gt;Assumptions!L$222,MIN(((Assumptions!$D$99*IF(Assumptions!L$206=2027,1+Assumptions!$F$193,1))/12),8*Assumptions!L$222)*Assumptions!$C$68+MIN(((Assumptions!$D$99*IF(Assumptions!L$206=2027,1+Assumptions!$F$193,1))/12),4*Assumptions!L$222)*Assumptions!$C$69,0))</f>
        <v>1848.89566666667</v>
      </c>
      <c r="M130" s="65" t="n">
        <f aca="false">M20*(MIN(((Assumptions!$D$99*IF(Assumptions!M$206=2027,1+Assumptions!$F$193,1))/12),Assumptions!M$222)*(Assumptions!$C$64+Assumptions!$C$65)+MAX(0,MIN(((Assumptions!$D$99*IF(Assumptions!M$206=2027,1+Assumptions!$F$193,1))/12),8*Assumptions!M$222)-Assumptions!M$222)*(Assumptions!$C$66+Assumptions!$C$67)+IF(((Assumptions!$D$99*IF(Assumptions!M$206=2027,1+Assumptions!$F$193,1))/12)&gt;Assumptions!M$222,MIN(((Assumptions!$D$99*IF(Assumptions!M$206=2027,1+Assumptions!$F$193,1))/12),8*Assumptions!M$222)*Assumptions!$C$68+MIN(((Assumptions!$D$99*IF(Assumptions!M$206=2027,1+Assumptions!$F$193,1))/12),4*Assumptions!M$222)*Assumptions!$C$69,0))</f>
        <v>1836.56969555556</v>
      </c>
      <c r="N130" s="65" t="n">
        <f aca="false">N20*(MIN(((Assumptions!$D$99*IF(Assumptions!N$206=2027,1+Assumptions!$F$193,1))/12),Assumptions!N$222)*(Assumptions!$C$64+Assumptions!$C$65)+MAX(0,MIN(((Assumptions!$D$99*IF(Assumptions!N$206=2027,1+Assumptions!$F$193,1))/12),8*Assumptions!N$222)-Assumptions!N$222)*(Assumptions!$C$66+Assumptions!$C$67)+IF(((Assumptions!$D$99*IF(Assumptions!N$206=2027,1+Assumptions!$F$193,1))/12)&gt;Assumptions!N$222,MIN(((Assumptions!$D$99*IF(Assumptions!N$206=2027,1+Assumptions!$F$193,1))/12),8*Assumptions!N$222)*Assumptions!$C$68+MIN(((Assumptions!$D$99*IF(Assumptions!N$206=2027,1+Assumptions!$F$193,1))/12),4*Assumptions!N$222)*Assumptions!$C$69,0))</f>
        <v>1824.32589758519</v>
      </c>
      <c r="O130" s="65" t="n">
        <f aca="false">O20*(MIN(((Assumptions!$D$99*IF(Assumptions!O$206=2027,1+Assumptions!$F$193,1))/12),Assumptions!O$222)*(Assumptions!$C$64+Assumptions!$C$65)+MAX(0,MIN(((Assumptions!$D$99*IF(Assumptions!O$206=2027,1+Assumptions!$F$193,1))/12),8*Assumptions!O$222)-Assumptions!O$222)*(Assumptions!$C$66+Assumptions!$C$67)+IF(((Assumptions!$D$99*IF(Assumptions!O$206=2027,1+Assumptions!$F$193,1))/12)&gt;Assumptions!O$222,MIN(((Assumptions!$D$99*IF(Assumptions!O$206=2027,1+Assumptions!$F$193,1))/12),8*Assumptions!O$222)*Assumptions!$C$68+MIN(((Assumptions!$D$99*IF(Assumptions!O$206=2027,1+Assumptions!$F$193,1))/12),4*Assumptions!O$222)*Assumptions!$C$69,0))</f>
        <v>1824.48969604573</v>
      </c>
      <c r="P130" s="65" t="n">
        <f aca="false">P20*(MIN(((Assumptions!$D$99*IF(Assumptions!P$206=2027,1+Assumptions!$F$193,1))/12),Assumptions!P$222)*(Assumptions!$C$64+Assumptions!$C$65)+MAX(0,MIN(((Assumptions!$D$99*IF(Assumptions!P$206=2027,1+Assumptions!$F$193,1))/12),8*Assumptions!P$222)-Assumptions!P$222)*(Assumptions!$C$66+Assumptions!$C$67)+IF(((Assumptions!$D$99*IF(Assumptions!P$206=2027,1+Assumptions!$F$193,1))/12)&gt;Assumptions!P$222,MIN(((Assumptions!$D$99*IF(Assumptions!P$206=2027,1+Assumptions!$F$193,1))/12),8*Assumptions!P$222)*Assumptions!$C$68+MIN(((Assumptions!$D$99*IF(Assumptions!P$206=2027,1+Assumptions!$F$193,1))/12),4*Assumptions!P$222)*Assumptions!$C$69,0))</f>
        <v>1824.57022937579</v>
      </c>
      <c r="Q130" s="65" t="n">
        <f aca="false">Q20*(MIN(((Assumptions!$D$99*IF(Assumptions!Q$206=2027,1+Assumptions!$F$193,1))/12),Assumptions!Q$222)*(Assumptions!$C$64+Assumptions!$C$65)+MAX(0,MIN(((Assumptions!$D$99*IF(Assumptions!Q$206=2027,1+Assumptions!$F$193,1))/12),8*Assumptions!Q$222)-Assumptions!Q$222)*(Assumptions!$C$66+Assumptions!$C$67)+IF(((Assumptions!$D$99*IF(Assumptions!Q$206=2027,1+Assumptions!$F$193,1))/12)&gt;Assumptions!Q$222,MIN(((Assumptions!$D$99*IF(Assumptions!Q$206=2027,1+Assumptions!$F$193,1))/12),8*Assumptions!Q$222)*Assumptions!$C$68+MIN(((Assumptions!$D$99*IF(Assumptions!Q$206=2027,1+Assumptions!$F$193,1))/12),4*Assumptions!Q$222)*Assumptions!$C$69,0))</f>
        <v>1883.83045911499</v>
      </c>
      <c r="R130" s="65" t="n">
        <f aca="false">R20*(MIN(((Assumptions!$D$99*IF(Assumptions!R$206=2027,1+Assumptions!$F$193,1))/12),Assumptions!R$222)*(Assumptions!$C$64+Assumptions!$C$65)+MAX(0,MIN(((Assumptions!$D$99*IF(Assumptions!R$206=2027,1+Assumptions!$F$193,1))/12),8*Assumptions!R$222)-Assumptions!R$222)*(Assumptions!$C$66+Assumptions!$C$67)+IF(((Assumptions!$D$99*IF(Assumptions!R$206=2027,1+Assumptions!$F$193,1))/12)&gt;Assumptions!R$222,MIN(((Assumptions!$D$99*IF(Assumptions!R$206=2027,1+Assumptions!$F$193,1))/12),8*Assumptions!R$222)*Assumptions!$C$68+MIN(((Assumptions!$D$99*IF(Assumptions!R$206=2027,1+Assumptions!$F$193,1))/12),4*Assumptions!R$222)*Assumptions!$C$69,0))</f>
        <v>1883.8299159999</v>
      </c>
      <c r="S130" s="65" t="n">
        <f aca="false">S20*(MIN(((Assumptions!$D$99*IF(Assumptions!S$206=2027,1+Assumptions!$F$193,1))/12),Assumptions!S$222)*(Assumptions!$C$64+Assumptions!$C$65)+MAX(0,MIN(((Assumptions!$D$99*IF(Assumptions!S$206=2027,1+Assumptions!$F$193,1))/12),8*Assumptions!S$222)-Assumptions!S$222)*(Assumptions!$C$66+Assumptions!$C$67)+IF(((Assumptions!$D$99*IF(Assumptions!S$206=2027,1+Assumptions!$F$193,1))/12)&gt;Assumptions!S$222,MIN(((Assumptions!$D$99*IF(Assumptions!S$206=2027,1+Assumptions!$F$193,1))/12),8*Assumptions!S$222)*Assumptions!$C$68+MIN(((Assumptions!$D$99*IF(Assumptions!S$206=2027,1+Assumptions!$F$193,1))/12),4*Assumptions!S$222)*Assumptions!$C$69,0))</f>
        <v>1883.82993083257</v>
      </c>
      <c r="T130" s="65" t="n">
        <f aca="false">T20*(MIN(((Assumptions!$D$99*IF(Assumptions!T$206=2027,1+Assumptions!$F$193,1))/12),Assumptions!T$222)*(Assumptions!$C$64+Assumptions!$C$65)+MAX(0,MIN(((Assumptions!$D$99*IF(Assumptions!T$206=2027,1+Assumptions!$F$193,1))/12),8*Assumptions!T$222)-Assumptions!T$222)*(Assumptions!$C$66+Assumptions!$C$67)+IF(((Assumptions!$D$99*IF(Assumptions!T$206=2027,1+Assumptions!$F$193,1))/12)&gt;Assumptions!T$222,MIN(((Assumptions!$D$99*IF(Assumptions!T$206=2027,1+Assumptions!$F$193,1))/12),8*Assumptions!T$222)*Assumptions!$C$68+MIN(((Assumptions!$D$99*IF(Assumptions!T$206=2027,1+Assumptions!$F$193,1))/12),4*Assumptions!T$222)*Assumptions!$C$69,0))</f>
        <v>1883.82993435445</v>
      </c>
      <c r="U130" s="65" t="n">
        <f aca="false">U20*(MIN(((Assumptions!$D$99*IF(Assumptions!U$206=2027,1+Assumptions!$F$193,1))/12),Assumptions!U$222)*(Assumptions!$C$64+Assumptions!$C$65)+MAX(0,MIN(((Assumptions!$D$99*IF(Assumptions!U$206=2027,1+Assumptions!$F$193,1))/12),8*Assumptions!U$222)-Assumptions!U$222)*(Assumptions!$C$66+Assumptions!$C$67)+IF(((Assumptions!$D$99*IF(Assumptions!U$206=2027,1+Assumptions!$F$193,1))/12)&gt;Assumptions!U$222,MIN(((Assumptions!$D$99*IF(Assumptions!U$206=2027,1+Assumptions!$F$193,1))/12),8*Assumptions!U$222)*Assumptions!$C$68+MIN(((Assumptions!$D$99*IF(Assumptions!U$206=2027,1+Assumptions!$F$193,1))/12),4*Assumptions!U$222)*Assumptions!$C$69,0))</f>
        <v>1883.82993423209</v>
      </c>
      <c r="V130" s="65" t="n">
        <f aca="false">V20*(MIN(((Assumptions!$D$99*IF(Assumptions!V$206=2027,1+Assumptions!$F$193,1))/12),Assumptions!V$222)*(Assumptions!$C$64+Assumptions!$C$65)+MAX(0,MIN(((Assumptions!$D$99*IF(Assumptions!V$206=2027,1+Assumptions!$F$193,1))/12),8*Assumptions!V$222)-Assumptions!V$222)*(Assumptions!$C$66+Assumptions!$C$67)+IF(((Assumptions!$D$99*IF(Assumptions!V$206=2027,1+Assumptions!$F$193,1))/12)&gt;Assumptions!V$222,MIN(((Assumptions!$D$99*IF(Assumptions!V$206=2027,1+Assumptions!$F$193,1))/12),8*Assumptions!V$222)*Assumptions!$C$68+MIN(((Assumptions!$D$99*IF(Assumptions!V$206=2027,1+Assumptions!$F$193,1))/12),4*Assumptions!V$222)*Assumptions!$C$69,0))</f>
        <v>1883.82993420942</v>
      </c>
      <c r="W130" s="65" t="n">
        <f aca="false">W20*(MIN(((Assumptions!$D$99*IF(Assumptions!W$206=2027,1+Assumptions!$F$193,1))/12),Assumptions!W$222)*(Assumptions!$C$64+Assumptions!$C$65)+MAX(0,MIN(((Assumptions!$D$99*IF(Assumptions!W$206=2027,1+Assumptions!$F$193,1))/12),8*Assumptions!W$222)-Assumptions!W$222)*(Assumptions!$C$66+Assumptions!$C$67)+IF(((Assumptions!$D$99*IF(Assumptions!W$206=2027,1+Assumptions!$F$193,1))/12)&gt;Assumptions!W$222,MIN(((Assumptions!$D$99*IF(Assumptions!W$206=2027,1+Assumptions!$F$193,1))/12),8*Assumptions!W$222)*Assumptions!$C$68+MIN(((Assumptions!$D$99*IF(Assumptions!W$206=2027,1+Assumptions!$F$193,1))/12),4*Assumptions!W$222)*Assumptions!$C$69,0))</f>
        <v>1883.82993421039</v>
      </c>
      <c r="X130" s="65" t="n">
        <f aca="false">X20*(MIN(((Assumptions!$D$99*IF(Assumptions!X$206=2027,1+Assumptions!$F$193,1))/12),Assumptions!X$222)*(Assumptions!$C$64+Assumptions!$C$65)+MAX(0,MIN(((Assumptions!$D$99*IF(Assumptions!X$206=2027,1+Assumptions!$F$193,1))/12),8*Assumptions!X$222)-Assumptions!X$222)*(Assumptions!$C$66+Assumptions!$C$67)+IF(((Assumptions!$D$99*IF(Assumptions!X$206=2027,1+Assumptions!$F$193,1))/12)&gt;Assumptions!X$222,MIN(((Assumptions!$D$99*IF(Assumptions!X$206=2027,1+Assumptions!$F$193,1))/12),8*Assumptions!X$222)*Assumptions!$C$68+MIN(((Assumptions!$D$99*IF(Assumptions!X$206=2027,1+Assumptions!$F$193,1))/12),4*Assumptions!X$222)*Assumptions!$C$69,0))</f>
        <v>1883.82993421053</v>
      </c>
      <c r="Y130" s="65" t="n">
        <f aca="false">Y20*(MIN(((Assumptions!$D$99*IF(Assumptions!Y$206=2027,1+Assumptions!$F$193,1))/12),Assumptions!Y$222)*(Assumptions!$C$64+Assumptions!$C$65)+MAX(0,MIN(((Assumptions!$D$99*IF(Assumptions!Y$206=2027,1+Assumptions!$F$193,1))/12),8*Assumptions!Y$222)-Assumptions!Y$222)*(Assumptions!$C$66+Assumptions!$C$67)+IF(((Assumptions!$D$99*IF(Assumptions!Y$206=2027,1+Assumptions!$F$193,1))/12)&gt;Assumptions!Y$222,MIN(((Assumptions!$D$99*IF(Assumptions!Y$206=2027,1+Assumptions!$F$193,1))/12),8*Assumptions!Y$222)*Assumptions!$C$68+MIN(((Assumptions!$D$99*IF(Assumptions!Y$206=2027,1+Assumptions!$F$193,1))/12),4*Assumptions!Y$222)*Assumptions!$C$69,0))</f>
        <v>1883.82993421053</v>
      </c>
      <c r="Z130" s="65" t="n">
        <f aca="false">Z20*(MIN(((Assumptions!$D$99*IF(Assumptions!Z$206=2027,1+Assumptions!$F$193,1))/12),Assumptions!Z$222)*(Assumptions!$C$64+Assumptions!$C$65)+MAX(0,MIN(((Assumptions!$D$99*IF(Assumptions!Z$206=2027,1+Assumptions!$F$193,1))/12),8*Assumptions!Z$222)-Assumptions!Z$222)*(Assumptions!$C$66+Assumptions!$C$67)+IF(((Assumptions!$D$99*IF(Assumptions!Z$206=2027,1+Assumptions!$F$193,1))/12)&gt;Assumptions!Z$222,MIN(((Assumptions!$D$99*IF(Assumptions!Z$206=2027,1+Assumptions!$F$193,1))/12),8*Assumptions!Z$222)*Assumptions!$C$68+MIN(((Assumptions!$D$99*IF(Assumptions!Z$206=2027,1+Assumptions!$F$193,1))/12),4*Assumptions!Z$222)*Assumptions!$C$69,0))</f>
        <v>1883.82993421053</v>
      </c>
      <c r="AA130" s="65" t="n">
        <f aca="false">AA20*(MIN(((Assumptions!$D$99*IF(Assumptions!AA$206=2027,1+Assumptions!$F$193,1))/12),Assumptions!AA$222)*(Assumptions!$C$64+Assumptions!$C$65)+MAX(0,MIN(((Assumptions!$D$99*IF(Assumptions!AA$206=2027,1+Assumptions!$F$193,1))/12),8*Assumptions!AA$222)-Assumptions!AA$222)*(Assumptions!$C$66+Assumptions!$C$67)+IF(((Assumptions!$D$99*IF(Assumptions!AA$206=2027,1+Assumptions!$F$193,1))/12)&gt;Assumptions!AA$222,MIN(((Assumptions!$D$99*IF(Assumptions!AA$206=2027,1+Assumptions!$F$193,1))/12),8*Assumptions!AA$222)*Assumptions!$C$68+MIN(((Assumptions!$D$99*IF(Assumptions!AA$206=2027,1+Assumptions!$F$193,1))/12),4*Assumptions!AA$222)*Assumptions!$C$69,0))</f>
        <v>1883.82993421053</v>
      </c>
      <c r="AB130" s="65" t="n">
        <f aca="false">AB20*(MIN(((Assumptions!$D$99*IF(Assumptions!AB$206=2027,1+Assumptions!$F$193,1))/12),Assumptions!AB$222)*(Assumptions!$C$64+Assumptions!$C$65)+MAX(0,MIN(((Assumptions!$D$99*IF(Assumptions!AB$206=2027,1+Assumptions!$F$193,1))/12),8*Assumptions!AB$222)-Assumptions!AB$222)*(Assumptions!$C$66+Assumptions!$C$67)+IF(((Assumptions!$D$99*IF(Assumptions!AB$206=2027,1+Assumptions!$F$193,1))/12)&gt;Assumptions!AB$222,MIN(((Assumptions!$D$99*IF(Assumptions!AB$206=2027,1+Assumptions!$F$193,1))/12),8*Assumptions!AB$222)*Assumptions!$C$68+MIN(((Assumptions!$D$99*IF(Assumptions!AB$206=2027,1+Assumptions!$F$193,1))/12),4*Assumptions!AB$222)*Assumptions!$C$69,0))</f>
        <v>1883.82993421053</v>
      </c>
    </row>
    <row r="131" customFormat="false" ht="15" hidden="false" customHeight="false" outlineLevel="0" collapsed="false">
      <c r="A131" s="28" t="s">
        <v>1217</v>
      </c>
      <c r="B131" s="62"/>
      <c r="C131" s="64" t="n">
        <f aca="false">SUM(E131:P131)</f>
        <v>12769.4560295677</v>
      </c>
      <c r="D131" s="64" t="n">
        <f aca="false">SUM(Q131:AB131)</f>
        <v>14700.6767358647</v>
      </c>
      <c r="E131" s="65" t="n">
        <f aca="false">E21*(MIN(((Assumptions!$D$100*IF(Assumptions!E$206=2027,1+Assumptions!$F$193,1))/12),Assumptions!E$222)*(Assumptions!$C$64+Assumptions!$C$65)+MAX(0,MIN(((Assumptions!$D$100*IF(Assumptions!E$206=2027,1+Assumptions!$F$193,1))/12),8*Assumptions!E$222)-Assumptions!E$222)*(Assumptions!$C$66+Assumptions!$C$67)+IF(((Assumptions!$D$100*IF(Assumptions!E$206=2027,1+Assumptions!$F$193,1))/12)&gt;Assumptions!E$222,MIN(((Assumptions!$D$100*IF(Assumptions!E$206=2027,1+Assumptions!$F$193,1))/12),8*Assumptions!E$222)*Assumptions!$C$68+MIN(((Assumptions!$D$100*IF(Assumptions!E$206=2027,1+Assumptions!$F$193,1))/12),4*Assumptions!E$222)*Assumptions!$C$69,0))</f>
        <v>915.739166666667</v>
      </c>
      <c r="F131" s="65" t="n">
        <f aca="false">F21*(MIN(((Assumptions!$D$100*IF(Assumptions!F$206=2027,1+Assumptions!$F$193,1))/12),Assumptions!F$222)*(Assumptions!$C$64+Assumptions!$C$65)+MAX(0,MIN(((Assumptions!$D$100*IF(Assumptions!F$206=2027,1+Assumptions!$F$193,1))/12),8*Assumptions!F$222)-Assumptions!F$222)*(Assumptions!$C$66+Assumptions!$C$67)+IF(((Assumptions!$D$100*IF(Assumptions!F$206=2027,1+Assumptions!$F$193,1))/12)&gt;Assumptions!F$222,MIN(((Assumptions!$D$100*IF(Assumptions!F$206=2027,1+Assumptions!$F$193,1))/12),8*Assumptions!F$222)*Assumptions!$C$68+MIN(((Assumptions!$D$100*IF(Assumptions!F$206=2027,1+Assumptions!$F$193,1))/12),4*Assumptions!F$222)*Assumptions!$C$69,0))</f>
        <v>915.739166666667</v>
      </c>
      <c r="G131" s="65" t="n">
        <f aca="false">G21*(MIN(((Assumptions!$D$100*IF(Assumptions!G$206=2027,1+Assumptions!$F$193,1))/12),Assumptions!G$222)*(Assumptions!$C$64+Assumptions!$C$65)+MAX(0,MIN(((Assumptions!$D$100*IF(Assumptions!G$206=2027,1+Assumptions!$F$193,1))/12),8*Assumptions!G$222)-Assumptions!G$222)*(Assumptions!$C$66+Assumptions!$C$67)+IF(((Assumptions!$D$100*IF(Assumptions!G$206=2027,1+Assumptions!$F$193,1))/12)&gt;Assumptions!G$222,MIN(((Assumptions!$D$100*IF(Assumptions!G$206=2027,1+Assumptions!$F$193,1))/12),8*Assumptions!G$222)*Assumptions!$C$68+MIN(((Assumptions!$D$100*IF(Assumptions!G$206=2027,1+Assumptions!$F$193,1))/12),4*Assumptions!G$222)*Assumptions!$C$69,0))</f>
        <v>1098.887</v>
      </c>
      <c r="H131" s="65" t="n">
        <f aca="false">H21*(MIN(((Assumptions!$D$100*IF(Assumptions!H$206=2027,1+Assumptions!$F$193,1))/12),Assumptions!H$222)*(Assumptions!$C$64+Assumptions!$C$65)+MAX(0,MIN(((Assumptions!$D$100*IF(Assumptions!H$206=2027,1+Assumptions!$F$193,1))/12),8*Assumptions!H$222)-Assumptions!H$222)*(Assumptions!$C$66+Assumptions!$C$67)+IF(((Assumptions!$D$100*IF(Assumptions!H$206=2027,1+Assumptions!$F$193,1))/12)&gt;Assumptions!H$222,MIN(((Assumptions!$D$100*IF(Assumptions!H$206=2027,1+Assumptions!$F$193,1))/12),8*Assumptions!H$222)*Assumptions!$C$68+MIN(((Assumptions!$D$100*IF(Assumptions!H$206=2027,1+Assumptions!$F$193,1))/12),4*Assumptions!H$222)*Assumptions!$C$69,0))</f>
        <v>1098.887</v>
      </c>
      <c r="I131" s="65" t="n">
        <f aca="false">I21*(MIN(((Assumptions!$D$100*IF(Assumptions!I$206=2027,1+Assumptions!$F$193,1))/12),Assumptions!I$222)*(Assumptions!$C$64+Assumptions!$C$65)+MAX(0,MIN(((Assumptions!$D$100*IF(Assumptions!I$206=2027,1+Assumptions!$F$193,1))/12),8*Assumptions!I$222)-Assumptions!I$222)*(Assumptions!$C$66+Assumptions!$C$67)+IF(((Assumptions!$D$100*IF(Assumptions!I$206=2027,1+Assumptions!$F$193,1))/12)&gt;Assumptions!I$222,MIN(((Assumptions!$D$100*IF(Assumptions!I$206=2027,1+Assumptions!$F$193,1))/12),8*Assumptions!I$222)*Assumptions!$C$68+MIN(((Assumptions!$D$100*IF(Assumptions!I$206=2027,1+Assumptions!$F$193,1))/12),4*Assumptions!I$222)*Assumptions!$C$69,0))</f>
        <v>1098.887</v>
      </c>
      <c r="J131" s="65" t="n">
        <f aca="false">J21*(MIN(((Assumptions!$D$100*IF(Assumptions!J$206=2027,1+Assumptions!$F$193,1))/12),Assumptions!J$222)*(Assumptions!$C$64+Assumptions!$C$65)+MAX(0,MIN(((Assumptions!$D$100*IF(Assumptions!J$206=2027,1+Assumptions!$F$193,1))/12),8*Assumptions!J$222)-Assumptions!J$222)*(Assumptions!$C$66+Assumptions!$C$67)+IF(((Assumptions!$D$100*IF(Assumptions!J$206=2027,1+Assumptions!$F$193,1))/12)&gt;Assumptions!J$222,MIN(((Assumptions!$D$100*IF(Assumptions!J$206=2027,1+Assumptions!$F$193,1))/12),8*Assumptions!J$222)*Assumptions!$C$68+MIN(((Assumptions!$D$100*IF(Assumptions!J$206=2027,1+Assumptions!$F$193,1))/12),4*Assumptions!J$222)*Assumptions!$C$69,0))</f>
        <v>1098.887</v>
      </c>
      <c r="K131" s="65" t="n">
        <f aca="false">K21*(MIN(((Assumptions!$D$100*IF(Assumptions!K$206=2027,1+Assumptions!$F$193,1))/12),Assumptions!K$222)*(Assumptions!$C$64+Assumptions!$C$65)+MAX(0,MIN(((Assumptions!$D$100*IF(Assumptions!K$206=2027,1+Assumptions!$F$193,1))/12),8*Assumptions!K$222)-Assumptions!K$222)*(Assumptions!$C$66+Assumptions!$C$67)+IF(((Assumptions!$D$100*IF(Assumptions!K$206=2027,1+Assumptions!$F$193,1))/12)&gt;Assumptions!K$222,MIN(((Assumptions!$D$100*IF(Assumptions!K$206=2027,1+Assumptions!$F$193,1))/12),8*Assumptions!K$222)*Assumptions!$C$68+MIN(((Assumptions!$D$100*IF(Assumptions!K$206=2027,1+Assumptions!$F$193,1))/12),4*Assumptions!K$222)*Assumptions!$C$69,0))</f>
        <v>1098.887</v>
      </c>
      <c r="L131" s="65" t="n">
        <f aca="false">L21*(MIN(((Assumptions!$D$100*IF(Assumptions!L$206=2027,1+Assumptions!$F$193,1))/12),Assumptions!L$222)*(Assumptions!$C$64+Assumptions!$C$65)+MAX(0,MIN(((Assumptions!$D$100*IF(Assumptions!L$206=2027,1+Assumptions!$F$193,1))/12),8*Assumptions!L$222)-Assumptions!L$222)*(Assumptions!$C$66+Assumptions!$C$67)+IF(((Assumptions!$D$100*IF(Assumptions!L$206=2027,1+Assumptions!$F$193,1))/12)&gt;Assumptions!L$222,MIN(((Assumptions!$D$100*IF(Assumptions!L$206=2027,1+Assumptions!$F$193,1))/12),8*Assumptions!L$222)*Assumptions!$C$68+MIN(((Assumptions!$D$100*IF(Assumptions!L$206=2027,1+Assumptions!$F$193,1))/12),4*Assumptions!L$222)*Assumptions!$C$69,0))</f>
        <v>1098.887</v>
      </c>
      <c r="M131" s="65" t="n">
        <f aca="false">M21*(MIN(((Assumptions!$D$100*IF(Assumptions!M$206=2027,1+Assumptions!$F$193,1))/12),Assumptions!M$222)*(Assumptions!$C$64+Assumptions!$C$65)+MAX(0,MIN(((Assumptions!$D$100*IF(Assumptions!M$206=2027,1+Assumptions!$F$193,1))/12),8*Assumptions!M$222)-Assumptions!M$222)*(Assumptions!$C$66+Assumptions!$C$67)+IF(((Assumptions!$D$100*IF(Assumptions!M$206=2027,1+Assumptions!$F$193,1))/12)&gt;Assumptions!M$222,MIN(((Assumptions!$D$100*IF(Assumptions!M$206=2027,1+Assumptions!$F$193,1))/12),8*Assumptions!M$222)*Assumptions!$C$68+MIN(((Assumptions!$D$100*IF(Assumptions!M$206=2027,1+Assumptions!$F$193,1))/12),4*Assumptions!M$222)*Assumptions!$C$69,0))</f>
        <v>1091.56108666667</v>
      </c>
      <c r="N131" s="65" t="n">
        <f aca="false">N21*(MIN(((Assumptions!$D$100*IF(Assumptions!N$206=2027,1+Assumptions!$F$193,1))/12),Assumptions!N$222)*(Assumptions!$C$64+Assumptions!$C$65)+MAX(0,MIN(((Assumptions!$D$100*IF(Assumptions!N$206=2027,1+Assumptions!$F$193,1))/12),8*Assumptions!N$222)-Assumptions!N$222)*(Assumptions!$C$66+Assumptions!$C$67)+IF(((Assumptions!$D$100*IF(Assumptions!N$206=2027,1+Assumptions!$F$193,1))/12)&gt;Assumptions!N$222,MIN(((Assumptions!$D$100*IF(Assumptions!N$206=2027,1+Assumptions!$F$193,1))/12),8*Assumptions!N$222)*Assumptions!$C$68+MIN(((Assumptions!$D$100*IF(Assumptions!N$206=2027,1+Assumptions!$F$193,1))/12),4*Assumptions!N$222)*Assumptions!$C$69,0))</f>
        <v>1084.28401275556</v>
      </c>
      <c r="O131" s="65" t="n">
        <f aca="false">O21*(MIN(((Assumptions!$D$100*IF(Assumptions!O$206=2027,1+Assumptions!$F$193,1))/12),Assumptions!O$222)*(Assumptions!$C$64+Assumptions!$C$65)+MAX(0,MIN(((Assumptions!$D$100*IF(Assumptions!O$206=2027,1+Assumptions!$F$193,1))/12),8*Assumptions!O$222)-Assumptions!O$222)*(Assumptions!$C$66+Assumptions!$C$67)+IF(((Assumptions!$D$100*IF(Assumptions!O$206=2027,1+Assumptions!$F$193,1))/12)&gt;Assumptions!O$222,MIN(((Assumptions!$D$100*IF(Assumptions!O$206=2027,1+Assumptions!$F$193,1))/12),8*Assumptions!O$222)*Assumptions!$C$68+MIN(((Assumptions!$D$100*IF(Assumptions!O$206=2027,1+Assumptions!$F$193,1))/12),4*Assumptions!O$222)*Assumptions!$C$69,0))</f>
        <v>1084.38136600385</v>
      </c>
      <c r="P131" s="65" t="n">
        <f aca="false">P21*(MIN(((Assumptions!$D$100*IF(Assumptions!P$206=2027,1+Assumptions!$F$193,1))/12),Assumptions!P$222)*(Assumptions!$C$64+Assumptions!$C$65)+MAX(0,MIN(((Assumptions!$D$100*IF(Assumptions!P$206=2027,1+Assumptions!$F$193,1))/12),8*Assumptions!P$222)-Assumptions!P$222)*(Assumptions!$C$66+Assumptions!$C$67)+IF(((Assumptions!$D$100*IF(Assumptions!P$206=2027,1+Assumptions!$F$193,1))/12)&gt;Assumptions!P$222,MIN(((Assumptions!$D$100*IF(Assumptions!P$206=2027,1+Assumptions!$F$193,1))/12),8*Assumptions!P$222)*Assumptions!$C$68+MIN(((Assumptions!$D$100*IF(Assumptions!P$206=2027,1+Assumptions!$F$193,1))/12),4*Assumptions!P$222)*Assumptions!$C$69,0))</f>
        <v>1084.42923080827</v>
      </c>
      <c r="Q131" s="65" t="n">
        <f aca="false">Q21*(MIN(((Assumptions!$D$100*IF(Assumptions!Q$206=2027,1+Assumptions!$F$193,1))/12),Assumptions!Q$222)*(Assumptions!$C$64+Assumptions!$C$65)+MAX(0,MIN(((Assumptions!$D$100*IF(Assumptions!Q$206=2027,1+Assumptions!$F$193,1))/12),8*Assumptions!Q$222)-Assumptions!Q$222)*(Assumptions!$C$66+Assumptions!$C$67)+IF(((Assumptions!$D$100*IF(Assumptions!Q$206=2027,1+Assumptions!$F$193,1))/12)&gt;Assumptions!Q$222,MIN(((Assumptions!$D$100*IF(Assumptions!Q$206=2027,1+Assumptions!$F$193,1))/12),8*Assumptions!Q$222)*Assumptions!$C$68+MIN(((Assumptions!$D$100*IF(Assumptions!Q$206=2027,1+Assumptions!$F$193,1))/12),4*Assumptions!Q$222)*Assumptions!$C$69,0))</f>
        <v>1130.5355123772</v>
      </c>
      <c r="R131" s="65" t="n">
        <f aca="false">R21*(MIN(((Assumptions!$D$100*IF(Assumptions!R$206=2027,1+Assumptions!$F$193,1))/12),Assumptions!R$222)*(Assumptions!$C$64+Assumptions!$C$65)+MAX(0,MIN(((Assumptions!$D$100*IF(Assumptions!R$206=2027,1+Assumptions!$F$193,1))/12),8*Assumptions!R$222)-Assumptions!R$222)*(Assumptions!$C$66+Assumptions!$C$67)+IF(((Assumptions!$D$100*IF(Assumptions!R$206=2027,1+Assumptions!$F$193,1))/12)&gt;Assumptions!R$222,MIN(((Assumptions!$D$100*IF(Assumptions!R$206=2027,1+Assumptions!$F$193,1))/12),8*Assumptions!R$222)*Assumptions!$C$68+MIN(((Assumptions!$D$100*IF(Assumptions!R$206=2027,1+Assumptions!$F$193,1))/12),4*Assumptions!R$222)*Assumptions!$C$69,0))</f>
        <v>1130.53518643975</v>
      </c>
      <c r="S131" s="65" t="n">
        <f aca="false">S21*(MIN(((Assumptions!$D$100*IF(Assumptions!S$206=2027,1+Assumptions!$F$193,1))/12),Assumptions!S$222)*(Assumptions!$C$64+Assumptions!$C$65)+MAX(0,MIN(((Assumptions!$D$100*IF(Assumptions!S$206=2027,1+Assumptions!$F$193,1))/12),8*Assumptions!S$222)-Assumptions!S$222)*(Assumptions!$C$66+Assumptions!$C$67)+IF(((Assumptions!$D$100*IF(Assumptions!S$206=2027,1+Assumptions!$F$193,1))/12)&gt;Assumptions!S$222,MIN(((Assumptions!$D$100*IF(Assumptions!S$206=2027,1+Assumptions!$F$193,1))/12),8*Assumptions!S$222)*Assumptions!$C$68+MIN(((Assumptions!$D$100*IF(Assumptions!S$206=2027,1+Assumptions!$F$193,1))/12),4*Assumptions!S$222)*Assumptions!$C$69,0))</f>
        <v>1130.53519534122</v>
      </c>
      <c r="T131" s="65" t="n">
        <f aca="false">T21*(MIN(((Assumptions!$D$100*IF(Assumptions!T$206=2027,1+Assumptions!$F$193,1))/12),Assumptions!T$222)*(Assumptions!$C$64+Assumptions!$C$65)+MAX(0,MIN(((Assumptions!$D$100*IF(Assumptions!T$206=2027,1+Assumptions!$F$193,1))/12),8*Assumptions!T$222)-Assumptions!T$222)*(Assumptions!$C$66+Assumptions!$C$67)+IF(((Assumptions!$D$100*IF(Assumptions!T$206=2027,1+Assumptions!$F$193,1))/12)&gt;Assumptions!T$222,MIN(((Assumptions!$D$100*IF(Assumptions!T$206=2027,1+Assumptions!$F$193,1))/12),8*Assumptions!T$222)*Assumptions!$C$68+MIN(((Assumptions!$D$100*IF(Assumptions!T$206=2027,1+Assumptions!$F$193,1))/12),4*Assumptions!T$222)*Assumptions!$C$69,0))</f>
        <v>1130.53519745479</v>
      </c>
      <c r="U131" s="65" t="n">
        <f aca="false">U21*(MIN(((Assumptions!$D$100*IF(Assumptions!U$206=2027,1+Assumptions!$F$193,1))/12),Assumptions!U$222)*(Assumptions!$C$64+Assumptions!$C$65)+MAX(0,MIN(((Assumptions!$D$100*IF(Assumptions!U$206=2027,1+Assumptions!$F$193,1))/12),8*Assumptions!U$222)-Assumptions!U$222)*(Assumptions!$C$66+Assumptions!$C$67)+IF(((Assumptions!$D$100*IF(Assumptions!U$206=2027,1+Assumptions!$F$193,1))/12)&gt;Assumptions!U$222,MIN(((Assumptions!$D$100*IF(Assumptions!U$206=2027,1+Assumptions!$F$193,1))/12),8*Assumptions!U$222)*Assumptions!$C$68+MIN(((Assumptions!$D$100*IF(Assumptions!U$206=2027,1+Assumptions!$F$193,1))/12),4*Assumptions!U$222)*Assumptions!$C$69,0))</f>
        <v>1130.53519738136</v>
      </c>
      <c r="V131" s="65" t="n">
        <f aca="false">V21*(MIN(((Assumptions!$D$100*IF(Assumptions!V$206=2027,1+Assumptions!$F$193,1))/12),Assumptions!V$222)*(Assumptions!$C$64+Assumptions!$C$65)+MAX(0,MIN(((Assumptions!$D$100*IF(Assumptions!V$206=2027,1+Assumptions!$F$193,1))/12),8*Assumptions!V$222)-Assumptions!V$222)*(Assumptions!$C$66+Assumptions!$C$67)+IF(((Assumptions!$D$100*IF(Assumptions!V$206=2027,1+Assumptions!$F$193,1))/12)&gt;Assumptions!V$222,MIN(((Assumptions!$D$100*IF(Assumptions!V$206=2027,1+Assumptions!$F$193,1))/12),8*Assumptions!V$222)*Assumptions!$C$68+MIN(((Assumptions!$D$100*IF(Assumptions!V$206=2027,1+Assumptions!$F$193,1))/12),4*Assumptions!V$222)*Assumptions!$C$69,0))</f>
        <v>1130.53519736776</v>
      </c>
      <c r="W131" s="65" t="n">
        <f aca="false">W21*(MIN(((Assumptions!$D$100*IF(Assumptions!W$206=2027,1+Assumptions!$F$193,1))/12),Assumptions!W$222)*(Assumptions!$C$64+Assumptions!$C$65)+MAX(0,MIN(((Assumptions!$D$100*IF(Assumptions!W$206=2027,1+Assumptions!$F$193,1))/12),8*Assumptions!W$222)-Assumptions!W$222)*(Assumptions!$C$66+Assumptions!$C$67)+IF(((Assumptions!$D$100*IF(Assumptions!W$206=2027,1+Assumptions!$F$193,1))/12)&gt;Assumptions!W$222,MIN(((Assumptions!$D$100*IF(Assumptions!W$206=2027,1+Assumptions!$F$193,1))/12),8*Assumptions!W$222)*Assumptions!$C$68+MIN(((Assumptions!$D$100*IF(Assumptions!W$206=2027,1+Assumptions!$F$193,1))/12),4*Assumptions!W$222)*Assumptions!$C$69,0))</f>
        <v>1321.47003070167</v>
      </c>
      <c r="X131" s="65" t="n">
        <f aca="false">X21*(MIN(((Assumptions!$D$100*IF(Assumptions!X$206=2027,1+Assumptions!$F$193,1))/12),Assumptions!X$222)*(Assumptions!$C$64+Assumptions!$C$65)+MAX(0,MIN(((Assumptions!$D$100*IF(Assumptions!X$206=2027,1+Assumptions!$F$193,1))/12),8*Assumptions!X$222)-Assumptions!X$222)*(Assumptions!$C$66+Assumptions!$C$67)+IF(((Assumptions!$D$100*IF(Assumptions!X$206=2027,1+Assumptions!$F$193,1))/12)&gt;Assumptions!X$222,MIN(((Assumptions!$D$100*IF(Assumptions!X$206=2027,1+Assumptions!$F$193,1))/12),8*Assumptions!X$222)*Assumptions!$C$68+MIN(((Assumptions!$D$100*IF(Assumptions!X$206=2027,1+Assumptions!$F$193,1))/12),4*Assumptions!X$222)*Assumptions!$C$69,0))</f>
        <v>1320.19713181287</v>
      </c>
      <c r="Y131" s="65" t="n">
        <f aca="false">Y21*(MIN(((Assumptions!$D$100*IF(Assumptions!Y$206=2027,1+Assumptions!$F$193,1))/12),Assumptions!Y$222)*(Assumptions!$C$64+Assumptions!$C$65)+MAX(0,MIN(((Assumptions!$D$100*IF(Assumptions!Y$206=2027,1+Assumptions!$F$193,1))/12),8*Assumptions!Y$222)-Assumptions!Y$222)*(Assumptions!$C$66+Assumptions!$C$67)+IF(((Assumptions!$D$100*IF(Assumptions!Y$206=2027,1+Assumptions!$F$193,1))/12)&gt;Assumptions!Y$222,MIN(((Assumptions!$D$100*IF(Assumptions!Y$206=2027,1+Assumptions!$F$193,1))/12),8*Assumptions!Y$222)*Assumptions!$C$68+MIN(((Assumptions!$D$100*IF(Assumptions!Y$206=2027,1+Assumptions!$F$193,1))/12),4*Assumptions!Y$222)*Assumptions!$C$69,0))</f>
        <v>1318.93271891657</v>
      </c>
      <c r="Z131" s="65" t="n">
        <f aca="false">Z21*(MIN(((Assumptions!$D$100*IF(Assumptions!Z$206=2027,1+Assumptions!$F$193,1))/12),Assumptions!Z$222)*(Assumptions!$C$64+Assumptions!$C$65)+MAX(0,MIN(((Assumptions!$D$100*IF(Assumptions!Z$206=2027,1+Assumptions!$F$193,1))/12),8*Assumptions!Z$222)-Assumptions!Z$222)*(Assumptions!$C$66+Assumptions!$C$67)+IF(((Assumptions!$D$100*IF(Assumptions!Z$206=2027,1+Assumptions!$F$193,1))/12)&gt;Assumptions!Z$222,MIN(((Assumptions!$D$100*IF(Assumptions!Z$206=2027,1+Assumptions!$F$193,1))/12),8*Assumptions!Z$222)*Assumptions!$C$68+MIN(((Assumptions!$D$100*IF(Assumptions!Z$206=2027,1+Assumptions!$F$193,1))/12),4*Assumptions!Z$222)*Assumptions!$C$69,0))</f>
        <v>1318.94963432847</v>
      </c>
      <c r="AA131" s="65" t="n">
        <f aca="false">AA21*(MIN(((Assumptions!$D$100*IF(Assumptions!AA$206=2027,1+Assumptions!$F$193,1))/12),Assumptions!AA$222)*(Assumptions!$C$64+Assumptions!$C$65)+MAX(0,MIN(((Assumptions!$D$100*IF(Assumptions!AA$206=2027,1+Assumptions!$F$193,1))/12),8*Assumptions!AA$222)-Assumptions!AA$222)*(Assumptions!$C$66+Assumptions!$C$67)+IF(((Assumptions!$D$100*IF(Assumptions!AA$206=2027,1+Assumptions!$F$193,1))/12)&gt;Assumptions!AA$222,MIN(((Assumptions!$D$100*IF(Assumptions!AA$206=2027,1+Assumptions!$F$193,1))/12),8*Assumptions!AA$222)*Assumptions!$C$68+MIN(((Assumptions!$D$100*IF(Assumptions!AA$206=2027,1+Assumptions!$F$193,1))/12),4*Assumptions!AA$222)*Assumptions!$C$69,0))</f>
        <v>1318.95795097837</v>
      </c>
      <c r="AB131" s="65" t="n">
        <f aca="false">AB21*(MIN(((Assumptions!$D$100*IF(Assumptions!AB$206=2027,1+Assumptions!$F$193,1))/12),Assumptions!AB$222)*(Assumptions!$C$64+Assumptions!$C$65)+MAX(0,MIN(((Assumptions!$D$100*IF(Assumptions!AB$206=2027,1+Assumptions!$F$193,1))/12),8*Assumptions!AB$222)-Assumptions!AB$222)*(Assumptions!$C$66+Assumptions!$C$67)+IF(((Assumptions!$D$100*IF(Assumptions!AB$206=2027,1+Assumptions!$F$193,1))/12)&gt;Assumptions!AB$222,MIN(((Assumptions!$D$100*IF(Assumptions!AB$206=2027,1+Assumptions!$F$193,1))/12),8*Assumptions!AB$222)*Assumptions!$C$68+MIN(((Assumptions!$D$100*IF(Assumptions!AB$206=2027,1+Assumptions!$F$193,1))/12),4*Assumptions!AB$222)*Assumptions!$C$69,0))</f>
        <v>1318.95778276462</v>
      </c>
    </row>
    <row r="132" customFormat="false" ht="15" hidden="false" customHeight="false" outlineLevel="0" collapsed="false">
      <c r="A132" s="28" t="s">
        <v>1218</v>
      </c>
      <c r="B132" s="62" t="s">
        <v>1219</v>
      </c>
      <c r="C132" s="64" t="n">
        <f aca="false">SUM(E132:P132)</f>
        <v>89120.2216831966</v>
      </c>
      <c r="D132" s="64" t="n">
        <f aca="false">SUM(Q132:AB132)</f>
        <v>103176.82888064</v>
      </c>
      <c r="E132" s="65" t="n">
        <f aca="false">Assumptions!$E$88*(E41-E106-E119+E41*Assumptions!$C$71*Assumptions!$C$72)</f>
        <v>6598.86152333334</v>
      </c>
      <c r="F132" s="65" t="n">
        <f aca="false">Assumptions!$E$88*(F41-F106-F119+F41*Assumptions!$C$71*Assumptions!$C$72)</f>
        <v>7541.55602666667</v>
      </c>
      <c r="G132" s="65" t="n">
        <f aca="false">Assumptions!$E$88*(G41-G106-G119+G41*Assumptions!$C$71*Assumptions!$C$72)</f>
        <v>7541.55602666667</v>
      </c>
      <c r="H132" s="65" t="n">
        <f aca="false">Assumptions!$E$88*(H41-H106-H119+H41*Assumptions!$C$71*Assumptions!$C$72)</f>
        <v>7541.55602666667</v>
      </c>
      <c r="I132" s="65" t="n">
        <f aca="false">Assumptions!$E$88*(I41-I106-I119+I41*Assumptions!$C$71*Assumptions!$C$72)</f>
        <v>7541.55602666667</v>
      </c>
      <c r="J132" s="65" t="n">
        <f aca="false">Assumptions!$E$88*(J41-J106-J119+J41*Assumptions!$C$71*Assumptions!$C$72)</f>
        <v>7541.55602666667</v>
      </c>
      <c r="K132" s="65" t="n">
        <f aca="false">Assumptions!$E$88*(K41-K106-K119+K41*Assumptions!$C$71*Assumptions!$C$72)</f>
        <v>7541.55602666667</v>
      </c>
      <c r="L132" s="65" t="n">
        <f aca="false">Assumptions!$E$88*(L41-L106-L119+L41*Assumptions!$C$71*Assumptions!$C$72)</f>
        <v>7541.55602666667</v>
      </c>
      <c r="M132" s="65" t="n">
        <f aca="false">Assumptions!$E$88*(M41-M106-M119+M41*Assumptions!$C$71*Assumptions!$C$72)</f>
        <v>7478.70972644445</v>
      </c>
      <c r="N132" s="65" t="n">
        <f aca="false">Assumptions!$E$88*(N41-N106-N119+N41*Assumptions!$C$71*Assumptions!$C$72)</f>
        <v>7416.38714539074</v>
      </c>
      <c r="O132" s="65" t="n">
        <f aca="false">Assumptions!$E$88*(O41-O106-O119+O41*Assumptions!$C$71*Assumptions!$C$72)</f>
        <v>7417.43021940138</v>
      </c>
      <c r="P132" s="65" t="n">
        <f aca="false">Assumptions!$E$88*(P41-P106-P119+P41*Assumptions!$C$71*Assumptions!$C$72)</f>
        <v>7417.94088196007</v>
      </c>
      <c r="Q132" s="65" t="n">
        <f aca="false">Assumptions!$E$88*(Q41-Q106-Q119+Q41*Assumptions!$C$71*Assumptions!$C$72)</f>
        <v>8612.03434754936</v>
      </c>
      <c r="R132" s="65" t="n">
        <f aca="false">Assumptions!$E$88*(R41-R106-R119+R41*Assumptions!$C$71*Assumptions!$C$72)</f>
        <v>8603.93805663398</v>
      </c>
      <c r="S132" s="65" t="n">
        <f aca="false">Assumptions!$E$88*(S41-S106-S119+S41*Assumptions!$C$71*Assumptions!$C$72)</f>
        <v>8595.91361829847</v>
      </c>
      <c r="T132" s="65" t="n">
        <f aca="false">Assumptions!$E$88*(T41-T106-T119+T41*Assumptions!$C$71*Assumptions!$C$72)</f>
        <v>8596.0479577089</v>
      </c>
      <c r="U132" s="65" t="n">
        <f aca="false">Assumptions!$E$88*(U41-U106-U119+U41*Assumptions!$C$71*Assumptions!$C$72)</f>
        <v>8596.11370853327</v>
      </c>
      <c r="V132" s="65" t="n">
        <f aca="false">Assumptions!$E$88*(V41-V106-V119+V41*Assumptions!$C$71*Assumptions!$C$72)</f>
        <v>8596.11204111465</v>
      </c>
      <c r="W132" s="65" t="n">
        <f aca="false">Assumptions!$E$88*(W41-W106-W119+W41*Assumptions!$C$71*Assumptions!$C$72)</f>
        <v>8596.11150708627</v>
      </c>
      <c r="X132" s="65" t="n">
        <f aca="false">Assumptions!$E$88*(X41-X106-X119+X41*Assumptions!$C$71*Assumptions!$C$72)</f>
        <v>8596.11152543166</v>
      </c>
      <c r="Y132" s="65" t="n">
        <f aca="false">Assumptions!$E$88*(Y41-Y106-Y119+Y41*Assumptions!$C$71*Assumptions!$C$72)</f>
        <v>8596.11152972902</v>
      </c>
      <c r="Z132" s="65" t="n">
        <f aca="false">Assumptions!$E$88*(Z41-Z106-Z119+Z41*Assumptions!$C$71*Assumptions!$C$72)</f>
        <v>8596.11152954033</v>
      </c>
      <c r="AA132" s="65" t="n">
        <f aca="false">Assumptions!$E$88*(AA41-AA106-AA119+AA41*Assumptions!$C$71*Assumptions!$C$72)</f>
        <v>8596.11152950609</v>
      </c>
      <c r="AB132" s="65" t="n">
        <f aca="false">Assumptions!$E$88*(AB41-AB106-AB119+AB41*Assumptions!$C$71*Assumptions!$C$72)</f>
        <v>8596.11152950795</v>
      </c>
    </row>
    <row r="133" customFormat="false" ht="15" hidden="false" customHeight="false" outlineLevel="0" collapsed="false">
      <c r="A133" s="28" t="s">
        <v>1220</v>
      </c>
      <c r="B133" s="62" t="s">
        <v>1219</v>
      </c>
      <c r="C133" s="64" t="n">
        <f aca="false">SUM(E133:P133)</f>
        <v>88807.5645329909</v>
      </c>
      <c r="D133" s="64" t="n">
        <f aca="false">SUM(Q133:AB133)</f>
        <v>102799.781437452</v>
      </c>
      <c r="E133" s="65" t="n">
        <f aca="false">Assumptions!$E$89*(E42-E107-E120+E42*Assumptions!$C$71*Assumptions!$C$72)</f>
        <v>7061.49246</v>
      </c>
      <c r="F133" s="65" t="n">
        <f aca="false">Assumptions!$E$89*(F42-F107-F120+F42*Assumptions!$C$71*Assumptions!$C$72)</f>
        <v>7061.49246</v>
      </c>
      <c r="G133" s="65" t="n">
        <f aca="false">Assumptions!$E$89*(G42-G107-G120+G42*Assumptions!$C$71*Assumptions!$C$72)</f>
        <v>7061.49246</v>
      </c>
      <c r="H133" s="65" t="n">
        <f aca="false">Assumptions!$E$89*(H42-H107-H120+H42*Assumptions!$C$71*Assumptions!$C$72)</f>
        <v>7703.44632</v>
      </c>
      <c r="I133" s="65" t="n">
        <f aca="false">Assumptions!$E$89*(I42-I107-I120+I42*Assumptions!$C$71*Assumptions!$C$72)</f>
        <v>7703.44632</v>
      </c>
      <c r="J133" s="65" t="n">
        <f aca="false">Assumptions!$E$89*(J42-J107-J120+J42*Assumptions!$C$71*Assumptions!$C$72)</f>
        <v>7703.44632</v>
      </c>
      <c r="K133" s="65" t="n">
        <f aca="false">Assumptions!$E$89*(K42-K107-K120+K42*Assumptions!$C$71*Assumptions!$C$72)</f>
        <v>7703.44632</v>
      </c>
      <c r="L133" s="65" t="n">
        <f aca="false">Assumptions!$E$89*(L42-L107-L120+L42*Assumptions!$C$71*Assumptions!$C$72)</f>
        <v>7061.49246</v>
      </c>
      <c r="M133" s="65" t="n">
        <f aca="false">Assumptions!$E$89*(M42-M107-M120+M42*Assumptions!$C$71*Assumptions!$C$72)</f>
        <v>7002.6466895</v>
      </c>
      <c r="N133" s="65" t="n">
        <f aca="false">Assumptions!$E$89*(N42-N107-N120+N42*Assumptions!$C$71*Assumptions!$C$72)</f>
        <v>7586.24516042083</v>
      </c>
      <c r="O133" s="65" t="n">
        <f aca="false">Assumptions!$E$89*(O42-O107-O120+O42*Assumptions!$C$71*Assumptions!$C$72)</f>
        <v>7581.87222125066</v>
      </c>
      <c r="P133" s="65" t="n">
        <f aca="false">Assumptions!$E$89*(P42-P107-P120+P42*Assumptions!$C$71*Assumptions!$C$72)</f>
        <v>7577.0453418194</v>
      </c>
      <c r="Q133" s="65" t="n">
        <f aca="false">Assumptions!$E$89*(Q42-Q107-Q120+Q42*Assumptions!$C$71*Assumptions!$C$72)</f>
        <v>7805.11239530329</v>
      </c>
      <c r="R133" s="65" t="n">
        <f aca="false">Assumptions!$E$89*(R42-R107-R120+R42*Assumptions!$C$71*Assumptions!$C$72)</f>
        <v>7805.15317151125</v>
      </c>
      <c r="S133" s="65" t="n">
        <f aca="false">Assumptions!$E$89*(S42-S107-S120+S42*Assumptions!$C$71*Assumptions!$C$72)</f>
        <v>8466.42198360988</v>
      </c>
      <c r="T133" s="65" t="n">
        <f aca="false">Assumptions!$E$89*(T42-T107-T120+T42*Assumptions!$C$71*Assumptions!$C$72)</f>
        <v>8460.91107037399</v>
      </c>
      <c r="U133" s="65" t="n">
        <f aca="false">Assumptions!$E$89*(U42-U107-U120+U42*Assumptions!$C$71*Assumptions!$C$72)</f>
        <v>8455.4464212168</v>
      </c>
      <c r="V133" s="65" t="n">
        <f aca="false">Assumptions!$E$89*(V42-V107-V120+V42*Assumptions!$C$71*Assumptions!$C$72)</f>
        <v>8455.53788423675</v>
      </c>
      <c r="W133" s="65" t="n">
        <f aca="false">Assumptions!$E$89*(W42-W107-W120+W42*Assumptions!$C$71*Assumptions!$C$72)</f>
        <v>8455.58266078789</v>
      </c>
      <c r="X133" s="65" t="n">
        <f aca="false">Assumptions!$E$89*(X42-X107-X120+X42*Assumptions!$C$71*Assumptions!$C$72)</f>
        <v>8455.58152545813</v>
      </c>
      <c r="Y133" s="65" t="n">
        <f aca="false">Assumptions!$E$89*(Y42-Y107-Y120+Y42*Assumptions!$C$71*Assumptions!$C$72)</f>
        <v>9116.85097178128</v>
      </c>
      <c r="Z133" s="65" t="n">
        <f aca="false">Assumptions!$E$89*(Z42-Z107-Z120+Z42*Assumptions!$C$71*Assumptions!$C$72)</f>
        <v>9111.34040252301</v>
      </c>
      <c r="AA133" s="65" t="n">
        <f aca="false">Assumptions!$E$89*(AA42-AA107-AA120+AA42*Assumptions!$C$71*Assumptions!$C$72)</f>
        <v>9105.87574521413</v>
      </c>
      <c r="AB133" s="65" t="n">
        <f aca="false">Assumptions!$E$89*(AB42-AB107-AB120+AB42*Assumptions!$C$71*Assumptions!$C$72)</f>
        <v>9105.96720543552</v>
      </c>
    </row>
    <row r="134" customFormat="false" ht="15" hidden="false" customHeight="false" outlineLevel="0" collapsed="false">
      <c r="A134" s="28" t="s">
        <v>1221</v>
      </c>
      <c r="B134" s="62" t="s">
        <v>1219</v>
      </c>
      <c r="C134" s="64" t="n">
        <f aca="false">SUM(E134:P134)</f>
        <v>86621.5232220327</v>
      </c>
      <c r="D134" s="64" t="n">
        <f aca="false">SUM(Q134:AB134)</f>
        <v>106412.092140448</v>
      </c>
      <c r="E134" s="65" t="n">
        <f aca="false">Assumptions!$E$90*(E43-E108-E121+E43*Assumptions!$C$71*Assumptions!$C$72)</f>
        <v>6858.34983166667</v>
      </c>
      <c r="F134" s="65" t="n">
        <f aca="false">Assumptions!$E$90*(F43-F108-F121+F43*Assumptions!$C$71*Assumptions!$C$72)</f>
        <v>6858.34983166667</v>
      </c>
      <c r="G134" s="65" t="n">
        <f aca="false">Assumptions!$E$90*(G43-G108-G121+G43*Assumptions!$C$71*Assumptions!$C$72)</f>
        <v>7385.91520333333</v>
      </c>
      <c r="H134" s="65" t="n">
        <f aca="false">Assumptions!$E$90*(H43-H108-H121+H43*Assumptions!$C$71*Assumptions!$C$72)</f>
        <v>7385.91520333333</v>
      </c>
      <c r="I134" s="65" t="n">
        <f aca="false">Assumptions!$E$90*(I43-I108-I121+I43*Assumptions!$C$71*Assumptions!$C$72)</f>
        <v>6858.34983166667</v>
      </c>
      <c r="J134" s="65" t="n">
        <f aca="false">Assumptions!$E$90*(J43-J108-J121+J43*Assumptions!$C$71*Assumptions!$C$72)</f>
        <v>7385.91520333333</v>
      </c>
      <c r="K134" s="65" t="n">
        <f aca="false">Assumptions!$E$90*(K43-K108-K121+K43*Assumptions!$C$71*Assumptions!$C$72)</f>
        <v>7385.91520333333</v>
      </c>
      <c r="L134" s="65" t="n">
        <f aca="false">Assumptions!$E$90*(L43-L108-L121+L43*Assumptions!$C$71*Assumptions!$C$72)</f>
        <v>7385.91520333333</v>
      </c>
      <c r="M134" s="65" t="n">
        <f aca="false">Assumptions!$E$90*(M43-M108-M121+M43*Assumptions!$C$71*Assumptions!$C$72)</f>
        <v>7324.36590997222</v>
      </c>
      <c r="N134" s="65" t="n">
        <f aca="false">Assumptions!$E$90*(N43-N108-N121+N43*Assumptions!$C$71*Assumptions!$C$72)</f>
        <v>7263.32952738912</v>
      </c>
      <c r="O134" s="65" t="n">
        <f aca="false">Assumptions!$E$90*(O43-O108-O121+O43*Assumptions!$C$71*Assumptions!$C$72)</f>
        <v>7264.35107468866</v>
      </c>
      <c r="P134" s="65" t="n">
        <f aca="false">Assumptions!$E$90*(P43-P108-P121+P43*Assumptions!$C$71*Assumptions!$C$72)</f>
        <v>7264.85119831602</v>
      </c>
      <c r="Q134" s="65" t="n">
        <f aca="false">Assumptions!$E$90*(Q43-Q108-Q121+Q43*Assumptions!$C$71*Assumptions!$C$72)</f>
        <v>8570.3971787646</v>
      </c>
      <c r="R134" s="65" t="n">
        <f aca="false">Assumptions!$E$90*(R43-R108-R121+R43*Assumptions!$C$71*Assumptions!$C$72)</f>
        <v>8561.33557965444</v>
      </c>
      <c r="S134" s="65" t="n">
        <f aca="false">Assumptions!$E$90*(S43-S108-S121+S43*Assumptions!$C$71*Assumptions!$C$72)</f>
        <v>8552.35378701318</v>
      </c>
      <c r="T134" s="65" t="n">
        <f aca="false">Assumptions!$E$90*(T43-T108-T121+T43*Assumptions!$C$71*Assumptions!$C$72)</f>
        <v>8552.5041486111</v>
      </c>
      <c r="U134" s="65" t="n">
        <f aca="false">Assumptions!$E$90*(U43-U108-U121+U43*Assumptions!$C$71*Assumptions!$C$72)</f>
        <v>8552.5777438698</v>
      </c>
      <c r="V134" s="65" t="n">
        <f aca="false">Assumptions!$E$90*(V43-V108-V121+V43*Assumptions!$C$71*Assumptions!$C$72)</f>
        <v>9096.02076672933</v>
      </c>
      <c r="W134" s="65" t="n">
        <f aca="false">Assumptions!$E$90*(W43-W108-W121+W43*Assumptions!$C$71*Assumptions!$C$72)</f>
        <v>9091.49146157834</v>
      </c>
      <c r="X134" s="65" t="n">
        <f aca="false">Assumptions!$E$90*(X43-X108-X121+X43*Assumptions!$C$71*Assumptions!$C$72)</f>
        <v>9087.00051393077</v>
      </c>
      <c r="Y134" s="65" t="n">
        <f aca="false">Assumptions!$E$90*(Y43-Y108-Y121+Y43*Assumptions!$C$71*Assumptions!$C$72)</f>
        <v>9087.07568270409</v>
      </c>
      <c r="Z134" s="65" t="n">
        <f aca="false">Assumptions!$E$90*(Z43-Z108-Z121+Z43*Assumptions!$C$71*Assumptions!$C$72)</f>
        <v>9087.11248086138</v>
      </c>
      <c r="AA134" s="65" t="n">
        <f aca="false">Assumptions!$E$90*(AA43-AA108-AA121+AA43*Assumptions!$C$71*Assumptions!$C$72)</f>
        <v>9087.11154780362</v>
      </c>
      <c r="AB134" s="65" t="n">
        <f aca="false">Assumptions!$E$90*(AB43-AB108-AB121+AB43*Assumptions!$C$71*Assumptions!$C$72)</f>
        <v>9087.11124892779</v>
      </c>
    </row>
    <row r="135" customFormat="false" ht="15" hidden="false" customHeight="false" outlineLevel="0" collapsed="false">
      <c r="A135" s="28" t="s">
        <v>1222</v>
      </c>
      <c r="B135" s="62" t="s">
        <v>1219</v>
      </c>
      <c r="C135" s="64" t="n">
        <f aca="false">SUM(E135:P135)</f>
        <v>55471.4012484573</v>
      </c>
      <c r="D135" s="64" t="n">
        <f aca="false">SUM(Q135:AB135)</f>
        <v>56473.8527817503</v>
      </c>
      <c r="E135" s="65" t="n">
        <f aca="false">Assumptions!$E$91*(E44-E109-E122+E44*Assumptions!$C$71*Assumptions!$C$72)</f>
        <v>4644.98262</v>
      </c>
      <c r="F135" s="65" t="n">
        <f aca="false">Assumptions!$E$91*(F44-F109-F122+F44*Assumptions!$C$71*Assumptions!$C$72)</f>
        <v>4644.98262</v>
      </c>
      <c r="G135" s="65" t="n">
        <f aca="false">Assumptions!$E$91*(G44-G109-G122+G44*Assumptions!$C$71*Assumptions!$C$72)</f>
        <v>4644.98262</v>
      </c>
      <c r="H135" s="65" t="n">
        <f aca="false">Assumptions!$E$91*(H44-H109-H122+H44*Assumptions!$C$71*Assumptions!$C$72)</f>
        <v>4644.98262</v>
      </c>
      <c r="I135" s="65" t="n">
        <f aca="false">Assumptions!$E$91*(I44-I109-I122+I44*Assumptions!$C$71*Assumptions!$C$72)</f>
        <v>4644.98262</v>
      </c>
      <c r="J135" s="65" t="n">
        <f aca="false">Assumptions!$E$91*(J44-J109-J122+J44*Assumptions!$C$71*Assumptions!$C$72)</f>
        <v>4644.98262</v>
      </c>
      <c r="K135" s="65" t="n">
        <f aca="false">Assumptions!$E$91*(K44-K109-K122+K44*Assumptions!$C$71*Assumptions!$C$72)</f>
        <v>4644.98262</v>
      </c>
      <c r="L135" s="65" t="n">
        <f aca="false">Assumptions!$E$91*(L44-L109-L122+L44*Assumptions!$C$71*Assumptions!$C$72)</f>
        <v>4644.98262</v>
      </c>
      <c r="M135" s="65" t="n">
        <f aca="false">Assumptions!$E$91*(M44-M109-M122+M44*Assumptions!$C$71*Assumptions!$C$72)</f>
        <v>4606.2744315</v>
      </c>
      <c r="N135" s="65" t="n">
        <f aca="false">Assumptions!$E$91*(N44-N109-N122+N44*Assumptions!$C$71*Assumptions!$C$72)</f>
        <v>4567.8888112375</v>
      </c>
      <c r="O135" s="65" t="n">
        <f aca="false">Assumptions!$E$91*(O44-O109-O122+O44*Assumptions!$C$71*Assumptions!$C$72)</f>
        <v>4568.53125964385</v>
      </c>
      <c r="P135" s="65" t="n">
        <f aca="false">Assumptions!$E$91*(P44-P109-P122+P44*Assumptions!$C$71*Assumptions!$C$72)</f>
        <v>4568.84578607599</v>
      </c>
      <c r="Q135" s="65" t="n">
        <f aca="false">Assumptions!$E$91*(Q44-Q109-Q122+Q44*Assumptions!$C$71*Assumptions!$C$72)</f>
        <v>4706.15672008804</v>
      </c>
      <c r="R135" s="65" t="n">
        <f aca="false">Assumptions!$E$91*(R44-R109-R122+R44*Assumptions!$C$71*Assumptions!$C$72)</f>
        <v>4706.15408871122</v>
      </c>
      <c r="S135" s="65" t="n">
        <f aca="false">Assumptions!$E$91*(S44-S109-S122+S44*Assumptions!$C$71*Assumptions!$C$72)</f>
        <v>4706.15417909334</v>
      </c>
      <c r="T135" s="65" t="n">
        <f aca="false">Assumptions!$E$91*(T44-T109-T122+T44*Assumptions!$C$71*Assumptions!$C$72)</f>
        <v>4706.15420026829</v>
      </c>
      <c r="U135" s="65" t="n">
        <f aca="false">Assumptions!$E$91*(U44-U109-U122+U44*Assumptions!$C$71*Assumptions!$C$72)</f>
        <v>4706.15419933865</v>
      </c>
      <c r="V135" s="65" t="n">
        <f aca="false">Assumptions!$E$91*(V44-V109-V122+V44*Assumptions!$C$71*Assumptions!$C$72)</f>
        <v>4706.15419916994</v>
      </c>
      <c r="W135" s="65" t="n">
        <f aca="false">Assumptions!$E$91*(W44-W109-W122+W44*Assumptions!$C$71*Assumptions!$C$72)</f>
        <v>4706.1541991791</v>
      </c>
      <c r="X135" s="65" t="n">
        <f aca="false">Assumptions!$E$91*(X44-X109-X122+X44*Assumptions!$C$71*Assumptions!$C$72)</f>
        <v>4706.15419918042</v>
      </c>
      <c r="Y135" s="65" t="n">
        <f aca="false">Assumptions!$E$91*(Y44-Y109-Y122+Y44*Assumptions!$C$71*Assumptions!$C$72)</f>
        <v>4706.15419918034</v>
      </c>
      <c r="Z135" s="65" t="n">
        <f aca="false">Assumptions!$E$91*(Z44-Z109-Z122+Z44*Assumptions!$C$71*Assumptions!$C$72)</f>
        <v>4706.15419918033</v>
      </c>
      <c r="AA135" s="65" t="n">
        <f aca="false">Assumptions!$E$91*(AA44-AA109-AA122+AA44*Assumptions!$C$71*Assumptions!$C$72)</f>
        <v>4706.15419918033</v>
      </c>
      <c r="AB135" s="65" t="n">
        <f aca="false">Assumptions!$E$91*(AB44-AB109-AB122+AB44*Assumptions!$C$71*Assumptions!$C$72)</f>
        <v>4706.15419918033</v>
      </c>
    </row>
    <row r="136" customFormat="false" ht="15" hidden="false" customHeight="false" outlineLevel="0" collapsed="false">
      <c r="A136" s="28" t="s">
        <v>1223</v>
      </c>
      <c r="B136" s="62" t="s">
        <v>1219</v>
      </c>
      <c r="C136" s="64" t="n">
        <f aca="false">SUM(E136:P136)</f>
        <v>38892.592687895</v>
      </c>
      <c r="D136" s="64" t="n">
        <f aca="false">SUM(Q136:AB136)</f>
        <v>39597.0271326148</v>
      </c>
      <c r="E136" s="65" t="n">
        <f aca="false">Assumptions!$E$92*(E45-E110-E123+E45*Assumptions!$C$71*Assumptions!$C$72)</f>
        <v>3256.73073</v>
      </c>
      <c r="F136" s="65" t="n">
        <f aca="false">Assumptions!$E$92*(F45-F110-F123+F45*Assumptions!$C$71*Assumptions!$C$72)</f>
        <v>3256.73073</v>
      </c>
      <c r="G136" s="65" t="n">
        <f aca="false">Assumptions!$E$92*(G45-G110-G123+G45*Assumptions!$C$71*Assumptions!$C$72)</f>
        <v>3256.73073</v>
      </c>
      <c r="H136" s="65" t="n">
        <f aca="false">Assumptions!$E$92*(H45-H110-H123+H45*Assumptions!$C$71*Assumptions!$C$72)</f>
        <v>3256.73073</v>
      </c>
      <c r="I136" s="65" t="n">
        <f aca="false">Assumptions!$E$92*(I45-I110-I123+I45*Assumptions!$C$71*Assumptions!$C$72)</f>
        <v>3256.73073</v>
      </c>
      <c r="J136" s="65" t="n">
        <f aca="false">Assumptions!$E$92*(J45-J110-J123+J45*Assumptions!$C$71*Assumptions!$C$72)</f>
        <v>3256.73073</v>
      </c>
      <c r="K136" s="65" t="n">
        <f aca="false">Assumptions!$E$92*(K45-K110-K123+K45*Assumptions!$C$71*Assumptions!$C$72)</f>
        <v>3256.73073</v>
      </c>
      <c r="L136" s="65" t="n">
        <f aca="false">Assumptions!$E$92*(L45-L110-L123+L45*Assumptions!$C$71*Assumptions!$C$72)</f>
        <v>3256.73073</v>
      </c>
      <c r="M136" s="65" t="n">
        <f aca="false">Assumptions!$E$92*(M45-M110-M123+M45*Assumptions!$C$71*Assumptions!$C$72)</f>
        <v>3229.59130725</v>
      </c>
      <c r="N136" s="65" t="n">
        <f aca="false">Assumptions!$E$92*(N45-N110-N123+N45*Assumptions!$C$71*Assumptions!$C$72)</f>
        <v>3202.67804635625</v>
      </c>
      <c r="O136" s="65" t="n">
        <f aca="false">Assumptions!$E$92*(O45-O110-O123+O45*Assumptions!$C$71*Assumptions!$C$72)</f>
        <v>3203.12848538661</v>
      </c>
      <c r="P136" s="65" t="n">
        <f aca="false">Assumptions!$E$92*(P45-P110-P123+P45*Assumptions!$C$71*Assumptions!$C$72)</f>
        <v>3203.34900890214</v>
      </c>
      <c r="Q136" s="65" t="n">
        <f aca="false">Assumptions!$E$92*(Q45-Q110-Q123+Q45*Assumptions!$C$71*Assumptions!$C$72)</f>
        <v>3299.75388886312</v>
      </c>
      <c r="R136" s="65" t="n">
        <f aca="false">Assumptions!$E$92*(R45-R110-R123+R45*Assumptions!$C$71*Assumptions!$C$72)</f>
        <v>3299.75204385531</v>
      </c>
      <c r="S136" s="65" t="n">
        <f aca="false">Assumptions!$E$92*(S45-S110-S123+S45*Assumptions!$C$71*Assumptions!$C$72)</f>
        <v>3299.75210722735</v>
      </c>
      <c r="T136" s="65" t="n">
        <f aca="false">Assumptions!$E$92*(T45-T110-T123+T45*Assumptions!$C$71*Assumptions!$C$72)</f>
        <v>3299.75212207431</v>
      </c>
      <c r="U136" s="65" t="n">
        <f aca="false">Assumptions!$E$92*(U45-U110-U123+U45*Assumptions!$C$71*Assumptions!$C$72)</f>
        <v>3299.75212142249</v>
      </c>
      <c r="V136" s="65" t="n">
        <f aca="false">Assumptions!$E$92*(V45-V110-V123+V45*Assumptions!$C$71*Assumptions!$C$72)</f>
        <v>3299.75212130419</v>
      </c>
      <c r="W136" s="65" t="n">
        <f aca="false">Assumptions!$E$92*(W45-W110-W123+W45*Assumptions!$C$71*Assumptions!$C$72)</f>
        <v>3299.75212131061</v>
      </c>
      <c r="X136" s="65" t="n">
        <f aca="false">Assumptions!$E$92*(X45-X110-X123+X45*Assumptions!$C$71*Assumptions!$C$72)</f>
        <v>3299.75212131154</v>
      </c>
      <c r="Y136" s="65" t="n">
        <f aca="false">Assumptions!$E$92*(Y45-Y110-Y123+Y45*Assumptions!$C$71*Assumptions!$C$72)</f>
        <v>3299.75212131148</v>
      </c>
      <c r="Z136" s="65" t="n">
        <f aca="false">Assumptions!$E$92*(Z45-Z110-Z123+Z45*Assumptions!$C$71*Assumptions!$C$72)</f>
        <v>3299.75212131147</v>
      </c>
      <c r="AA136" s="65" t="n">
        <f aca="false">Assumptions!$E$92*(AA45-AA110-AA123+AA45*Assumptions!$C$71*Assumptions!$C$72)</f>
        <v>3299.75212131148</v>
      </c>
      <c r="AB136" s="65" t="n">
        <f aca="false">Assumptions!$E$92*(AB45-AB110-AB123+AB45*Assumptions!$C$71*Assumptions!$C$72)</f>
        <v>3299.75212131148</v>
      </c>
    </row>
    <row r="137" customFormat="false" ht="15" hidden="false" customHeight="false" outlineLevel="0" collapsed="false">
      <c r="A137" s="28" t="s">
        <v>1224</v>
      </c>
      <c r="B137" s="62" t="s">
        <v>1219</v>
      </c>
      <c r="C137" s="64" t="n">
        <f aca="false">SUM(E137:P137)</f>
        <v>23961.4452071797</v>
      </c>
      <c r="D137" s="64" t="n">
        <f aca="false">SUM(Q137:AB137)</f>
        <v>29984.208425087</v>
      </c>
      <c r="E137" s="65" t="n">
        <f aca="false">Assumptions!$E$93*(E46-E111-E124+E46*Assumptions!$C$71*Assumptions!$C$72)</f>
        <v>1704.25144</v>
      </c>
      <c r="F137" s="65" t="n">
        <f aca="false">Assumptions!$E$93*(F46-F111-F124+F46*Assumptions!$C$71*Assumptions!$C$72)</f>
        <v>1704.25144</v>
      </c>
      <c r="G137" s="65" t="n">
        <f aca="false">Assumptions!$E$93*(G46-G111-G124+G46*Assumptions!$C$71*Assumptions!$C$72)</f>
        <v>1988.29334666667</v>
      </c>
      <c r="H137" s="65" t="n">
        <f aca="false">Assumptions!$E$93*(H46-H111-H124+H46*Assumptions!$C$71*Assumptions!$C$72)</f>
        <v>1988.29334666667</v>
      </c>
      <c r="I137" s="65" t="n">
        <f aca="false">Assumptions!$E$93*(I46-I111-I124+I46*Assumptions!$C$71*Assumptions!$C$72)</f>
        <v>1988.29334666667</v>
      </c>
      <c r="J137" s="65" t="n">
        <f aca="false">Assumptions!$E$93*(J46-J111-J124+J46*Assumptions!$C$71*Assumptions!$C$72)</f>
        <v>1988.29334666667</v>
      </c>
      <c r="K137" s="65" t="n">
        <f aca="false">Assumptions!$E$93*(K46-K111-K124+K46*Assumptions!$C$71*Assumptions!$C$72)</f>
        <v>1988.29334666667</v>
      </c>
      <c r="L137" s="65" t="n">
        <f aca="false">Assumptions!$E$93*(L46-L111-L124+L46*Assumptions!$C$71*Assumptions!$C$72)</f>
        <v>1988.29334666667</v>
      </c>
      <c r="M137" s="65" t="n">
        <f aca="false">Assumptions!$E$93*(M46-M111-M124+M46*Assumptions!$C$71*Assumptions!$C$72)</f>
        <v>1963.43967983333</v>
      </c>
      <c r="N137" s="65" t="n">
        <f aca="false">Assumptions!$E$93*(N46-N111-N124+N46*Assumptions!$C$71*Assumptions!$C$72)</f>
        <v>2222.93859050208</v>
      </c>
      <c r="O137" s="65" t="n">
        <f aca="false">Assumptions!$E$93*(O46-O111-O124+O46*Assumptions!$C$71*Assumptions!$C$72)</f>
        <v>2220.00552495414</v>
      </c>
      <c r="P137" s="65" t="n">
        <f aca="false">Assumptions!$E$93*(P46-P111-P124+P46*Assumptions!$C$71*Assumptions!$C$72)</f>
        <v>2216.79845189013</v>
      </c>
      <c r="Q137" s="65" t="n">
        <f aca="false">Assumptions!$E$93*(Q46-Q111-Q124+Q46*Assumptions!$C$71*Assumptions!$C$72)</f>
        <v>2283.67977901303</v>
      </c>
      <c r="R137" s="65" t="n">
        <f aca="false">Assumptions!$E$93*(R46-R111-R124+R46*Assumptions!$C$71*Assumptions!$C$72)</f>
        <v>2283.72008716567</v>
      </c>
      <c r="S137" s="65" t="n">
        <f aca="false">Assumptions!$E$93*(S46-S111-S124+S46*Assumptions!$C$71*Assumptions!$C$72)</f>
        <v>2283.7185950061</v>
      </c>
      <c r="T137" s="65" t="n">
        <f aca="false">Assumptions!$E$93*(T46-T111-T124+T46*Assumptions!$C$71*Assumptions!$C$72)</f>
        <v>2576.31949647285</v>
      </c>
      <c r="U137" s="65" t="n">
        <f aca="false">Assumptions!$E$93*(U46-U111-U124+U46*Assumptions!$C$71*Assumptions!$C$72)</f>
        <v>2572.66200385651</v>
      </c>
      <c r="V137" s="65" t="n">
        <f aca="false">Assumptions!$E$93*(V46-V111-V124+V46*Assumptions!$C$71*Assumptions!$C$72)</f>
        <v>2569.05021124588</v>
      </c>
      <c r="W137" s="65" t="n">
        <f aca="false">Assumptions!$E$93*(W46-W111-W124+W46*Assumptions!$C$71*Assumptions!$C$72)</f>
        <v>2569.14107731122</v>
      </c>
      <c r="X137" s="65" t="n">
        <f aca="false">Assumptions!$E$93*(X46-X111-X124+X46*Assumptions!$C$71*Assumptions!$C$72)</f>
        <v>2569.18508889304</v>
      </c>
      <c r="Y137" s="65" t="n">
        <f aca="false">Assumptions!$E$93*(Y46-Y111-Y124+Y46*Assumptions!$C$71*Assumptions!$C$72)</f>
        <v>2569.18340292245</v>
      </c>
      <c r="Z137" s="65" t="n">
        <f aca="false">Assumptions!$E$93*(Z46-Z111-Z124+Z46*Assumptions!$C$71*Assumptions!$C$72)</f>
        <v>2569.18287385231</v>
      </c>
      <c r="AA137" s="65" t="n">
        <f aca="false">Assumptions!$E$93*(AA46-AA111-AA124+AA46*Assumptions!$C$71*Assumptions!$C$72)</f>
        <v>2569.18290154032</v>
      </c>
      <c r="AB137" s="65" t="n">
        <f aca="false">Assumptions!$E$93*(AB46-AB111-AB124+AB46*Assumptions!$C$71*Assumptions!$C$72)</f>
        <v>2569.18290780759</v>
      </c>
    </row>
    <row r="138" customFormat="false" ht="15" hidden="false" customHeight="false" outlineLevel="0" collapsed="false">
      <c r="A138" s="28" t="s">
        <v>1225</v>
      </c>
      <c r="B138" s="62" t="s">
        <v>1219</v>
      </c>
      <c r="C138" s="64" t="n">
        <f aca="false">SUM(E138:P138)</f>
        <v>19141.0639834209</v>
      </c>
      <c r="D138" s="64" t="n">
        <f aca="false">SUM(Q138:AB138)</f>
        <v>24937.6191074703</v>
      </c>
      <c r="E138" s="65" t="n">
        <f aca="false">Assumptions!$E$94*(E47-E112-E125+E47*Assumptions!$C$71*Assumptions!$C$72)</f>
        <v>1377.83058</v>
      </c>
      <c r="F138" s="65" t="n">
        <f aca="false">Assumptions!$E$94*(F47-F112-F125+F47*Assumptions!$C$71*Assumptions!$C$72)</f>
        <v>1377.83058</v>
      </c>
      <c r="G138" s="65" t="n">
        <f aca="false">Assumptions!$E$94*(G47-G112-G125+G47*Assumptions!$C$71*Assumptions!$C$72)</f>
        <v>1377.83058</v>
      </c>
      <c r="H138" s="65" t="n">
        <f aca="false">Assumptions!$E$94*(H47-H112-H125+H47*Assumptions!$C$71*Assumptions!$C$72)</f>
        <v>1377.83058</v>
      </c>
      <c r="I138" s="65" t="n">
        <f aca="false">Assumptions!$E$94*(I47-I112-I125+I47*Assumptions!$C$71*Assumptions!$C$72)</f>
        <v>1722.288225</v>
      </c>
      <c r="J138" s="65" t="n">
        <f aca="false">Assumptions!$E$94*(J47-J112-J125+J47*Assumptions!$C$71*Assumptions!$C$72)</f>
        <v>1722.288225</v>
      </c>
      <c r="K138" s="65" t="n">
        <f aca="false">Assumptions!$E$94*(K47-K112-K125+K47*Assumptions!$C$71*Assumptions!$C$72)</f>
        <v>1722.288225</v>
      </c>
      <c r="L138" s="65" t="n">
        <f aca="false">Assumptions!$E$94*(L47-L112-L125+L47*Assumptions!$C$71*Assumptions!$C$72)</f>
        <v>1722.288225</v>
      </c>
      <c r="M138" s="65" t="n">
        <f aca="false">Assumptions!$E$94*(M47-M112-M125+M47*Assumptions!$C$71*Assumptions!$C$72)</f>
        <v>1700.7596221875</v>
      </c>
      <c r="N138" s="65" t="n">
        <f aca="false">Assumptions!$E$94*(N47-N112-N125+N47*Assumptions!$C$71*Assumptions!$C$72)</f>
        <v>1679.50012691016</v>
      </c>
      <c r="O138" s="65" t="n">
        <f aca="false">Assumptions!$E$94*(O47-O112-O125+O47*Assumptions!$C$71*Assumptions!$C$72)</f>
        <v>1680.03497813628</v>
      </c>
      <c r="P138" s="65" t="n">
        <f aca="false">Assumptions!$E$94*(P47-P112-P125+P47*Assumptions!$C$71*Assumptions!$C$72)</f>
        <v>1680.29403618692</v>
      </c>
      <c r="Q138" s="65" t="n">
        <f aca="false">Assumptions!$E$94*(Q47-Q112-Q125+Q47*Assumptions!$C$71*Assumptions!$C$72)</f>
        <v>2085.73677032305</v>
      </c>
      <c r="R138" s="65" t="n">
        <f aca="false">Assumptions!$E$94*(R47-R112-R125+R47*Assumptions!$C$71*Assumptions!$C$72)</f>
        <v>2081.29813264416</v>
      </c>
      <c r="S138" s="65" t="n">
        <f aca="false">Assumptions!$E$94*(S47-S112-S125+S47*Assumptions!$C$71*Assumptions!$C$72)</f>
        <v>2076.91831371291</v>
      </c>
      <c r="T138" s="65" t="n">
        <f aca="false">Assumptions!$E$94*(T47-T112-T125+T47*Assumptions!$C$71*Assumptions!$C$72)</f>
        <v>2077.02854442054</v>
      </c>
      <c r="U138" s="65" t="n">
        <f aca="false">Assumptions!$E$94*(U47-U112-U125+U47*Assumptions!$C$71*Assumptions!$C$72)</f>
        <v>2077.08191427333</v>
      </c>
      <c r="V138" s="65" t="n">
        <f aca="false">Assumptions!$E$94*(V47-V112-V125+V47*Assumptions!$C$71*Assumptions!$C$72)</f>
        <v>2077.07986926633</v>
      </c>
      <c r="W138" s="65" t="n">
        <f aca="false">Assumptions!$E$94*(W47-W112-W125+W47*Assumptions!$C$71*Assumptions!$C$72)</f>
        <v>2077.07922770575</v>
      </c>
      <c r="X138" s="65" t="n">
        <f aca="false">Assumptions!$E$94*(X47-X112-X125+X47*Assumptions!$C$71*Assumptions!$C$72)</f>
        <v>2077.07926128785</v>
      </c>
      <c r="Y138" s="65" t="n">
        <f aca="false">Assumptions!$E$94*(Y47-Y112-Y125+Y47*Assumptions!$C$71*Assumptions!$C$72)</f>
        <v>2077.07926888758</v>
      </c>
      <c r="Z138" s="65" t="n">
        <f aca="false">Assumptions!$E$94*(Z47-Z112-Z125+Z47*Assumptions!$C$71*Assumptions!$C$72)</f>
        <v>2077.07926837281</v>
      </c>
      <c r="AA138" s="65" t="n">
        <f aca="false">Assumptions!$E$94*(AA47-AA112-AA125+AA47*Assumptions!$C$71*Assumptions!$C$72)</f>
        <v>2077.07926828425</v>
      </c>
      <c r="AB138" s="65" t="n">
        <f aca="false">Assumptions!$E$94*(AB47-AB112-AB125+AB47*Assumptions!$C$71*Assumptions!$C$72)</f>
        <v>2077.07926829179</v>
      </c>
    </row>
    <row r="139" customFormat="false" ht="15" hidden="false" customHeight="false" outlineLevel="0" collapsed="false">
      <c r="A139" s="28" t="s">
        <v>1226</v>
      </c>
      <c r="B139" s="62" t="s">
        <v>1219</v>
      </c>
      <c r="C139" s="64" t="n">
        <f aca="false">SUM(E139:P139)</f>
        <v>19142.8836658132</v>
      </c>
      <c r="D139" s="64" t="n">
        <f aca="false">SUM(Q139:AB139)</f>
        <v>19265.9039180144</v>
      </c>
      <c r="E139" s="65" t="n">
        <f aca="false">Assumptions!$E$95*(E48-E113-E126+E48*Assumptions!$C$71*Assumptions!$C$72)</f>
        <v>1610.60379</v>
      </c>
      <c r="F139" s="65" t="n">
        <f aca="false">Assumptions!$E$95*(F48-F113-F126+F48*Assumptions!$C$71*Assumptions!$C$72)</f>
        <v>1610.60379</v>
      </c>
      <c r="G139" s="65" t="n">
        <f aca="false">Assumptions!$E$95*(G48-G113-G126+G48*Assumptions!$C$71*Assumptions!$C$72)</f>
        <v>1610.60379</v>
      </c>
      <c r="H139" s="65" t="n">
        <f aca="false">Assumptions!$E$95*(H48-H113-H126+H48*Assumptions!$C$71*Assumptions!$C$72)</f>
        <v>1610.60379</v>
      </c>
      <c r="I139" s="65" t="n">
        <f aca="false">Assumptions!$E$95*(I48-I113-I126+I48*Assumptions!$C$71*Assumptions!$C$72)</f>
        <v>1610.60379</v>
      </c>
      <c r="J139" s="65" t="n">
        <f aca="false">Assumptions!$E$95*(J48-J113-J126+J48*Assumptions!$C$71*Assumptions!$C$72)</f>
        <v>1610.60379</v>
      </c>
      <c r="K139" s="65" t="n">
        <f aca="false">Assumptions!$E$95*(K48-K113-K126+K48*Assumptions!$C$71*Assumptions!$C$72)</f>
        <v>1610.60379</v>
      </c>
      <c r="L139" s="65" t="n">
        <f aca="false">Assumptions!$E$95*(L48-L113-L126+L48*Assumptions!$C$71*Assumptions!$C$72)</f>
        <v>1610.60379</v>
      </c>
      <c r="M139" s="65" t="n">
        <f aca="false">Assumptions!$E$95*(M48-M113-M126+M48*Assumptions!$C$71*Assumptions!$C$72)</f>
        <v>1583.7603935</v>
      </c>
      <c r="N139" s="65" t="n">
        <f aca="false">Assumptions!$E$95*(N48-N113-N126+N48*Assumptions!$C$71*Assumptions!$C$72)</f>
        <v>1557.36438694167</v>
      </c>
      <c r="O139" s="65" t="n">
        <f aca="false">Assumptions!$E$95*(O48-O113-O126+O48*Assumptions!$C$71*Assumptions!$C$72)</f>
        <v>1558.25171032597</v>
      </c>
      <c r="P139" s="65" t="n">
        <f aca="false">Assumptions!$E$95*(P48-P113-P126+P48*Assumptions!$C$71*Assumptions!$C$72)</f>
        <v>1558.67685504554</v>
      </c>
      <c r="Q139" s="65" t="n">
        <f aca="false">Assumptions!$E$95*(Q48-Q113-Q126+Q48*Assumptions!$C$71*Assumptions!$C$72)</f>
        <v>1605.49785738745</v>
      </c>
      <c r="R139" s="65" t="n">
        <f aca="false">Assumptions!$E$95*(R48-R113-R126+R48*Assumptions!$C$71*Assumptions!$C$72)</f>
        <v>1605.49093422258</v>
      </c>
      <c r="S139" s="65" t="n">
        <f aca="false">Assumptions!$E$95*(S48-S113-S126+S48*Assumptions!$C$71*Assumptions!$C$72)</f>
        <v>1605.49142513983</v>
      </c>
      <c r="T139" s="65" t="n">
        <f aca="false">Assumptions!$E$95*(T48-T113-T126+T48*Assumptions!$C$71*Assumptions!$C$72)</f>
        <v>1605.49153234396</v>
      </c>
      <c r="U139" s="65" t="n">
        <f aca="false">Assumptions!$E$95*(U48-U113-U126+U48*Assumptions!$C$71*Assumptions!$C$72)</f>
        <v>1605.49152237527</v>
      </c>
      <c r="V139" s="65" t="n">
        <f aca="false">Assumptions!$E$95*(V48-V113-V126+V48*Assumptions!$C$71*Assumptions!$C$72)</f>
        <v>1605.49152075468</v>
      </c>
      <c r="W139" s="65" t="n">
        <f aca="false">Assumptions!$E$95*(W48-W113-W126+W48*Assumptions!$C$71*Assumptions!$C$72)</f>
        <v>1605.49152094783</v>
      </c>
      <c r="X139" s="65" t="n">
        <f aca="false">Assumptions!$E$95*(X48-X113-X126+X48*Assumptions!$C$71*Assumptions!$C$72)</f>
        <v>1605.49152097162</v>
      </c>
      <c r="Y139" s="65" t="n">
        <f aca="false">Assumptions!$E$95*(Y48-Y113-Y126+Y48*Assumptions!$C$71*Assumptions!$C$72)</f>
        <v>1605.49152096801</v>
      </c>
      <c r="Z139" s="65" t="n">
        <f aca="false">Assumptions!$E$95*(Z48-Z113-Z126+Z48*Assumptions!$C$71*Assumptions!$C$72)</f>
        <v>1605.49152096767</v>
      </c>
      <c r="AA139" s="65" t="n">
        <f aca="false">Assumptions!$E$95*(AA48-AA113-AA126+AA48*Assumptions!$C$71*Assumptions!$C$72)</f>
        <v>1605.49152096774</v>
      </c>
      <c r="AB139" s="65" t="n">
        <f aca="false">Assumptions!$E$95*(AB48-AB113-AB126+AB48*Assumptions!$C$71*Assumptions!$C$72)</f>
        <v>1605.49152096774</v>
      </c>
    </row>
    <row r="140" customFormat="false" ht="15" hidden="false" customHeight="false" outlineLevel="0" collapsed="false">
      <c r="A140" s="28" t="s">
        <v>1227</v>
      </c>
      <c r="B140" s="62" t="s">
        <v>1219</v>
      </c>
      <c r="C140" s="64" t="n">
        <f aca="false">SUM(E140:P140)</f>
        <v>45210.4069242486</v>
      </c>
      <c r="D140" s="64" t="n">
        <f aca="false">SUM(Q140:AB140)</f>
        <v>59874.4871515514</v>
      </c>
      <c r="E140" s="65" t="n">
        <f aca="false">Assumptions!$E$96*(E49-E114-E127+E49*Assumptions!$C$71*Assumptions!$C$72)</f>
        <v>3126.7343</v>
      </c>
      <c r="F140" s="65" t="n">
        <f aca="false">Assumptions!$E$96*(F49-F114-F127+F49*Assumptions!$C$71*Assumptions!$C$72)</f>
        <v>3752.08116</v>
      </c>
      <c r="G140" s="65" t="n">
        <f aca="false">Assumptions!$E$96*(G49-G114-G127+G49*Assumptions!$C$71*Assumptions!$C$72)</f>
        <v>3752.08116</v>
      </c>
      <c r="H140" s="65" t="n">
        <f aca="false">Assumptions!$E$96*(H49-H114-H127+H49*Assumptions!$C$71*Assumptions!$C$72)</f>
        <v>3752.08116</v>
      </c>
      <c r="I140" s="65" t="n">
        <f aca="false">Assumptions!$E$96*(I49-I114-I127+I49*Assumptions!$C$71*Assumptions!$C$72)</f>
        <v>3752.08116</v>
      </c>
      <c r="J140" s="65" t="n">
        <f aca="false">Assumptions!$E$96*(J49-J114-J127+J49*Assumptions!$C$71*Assumptions!$C$72)</f>
        <v>3752.08116</v>
      </c>
      <c r="K140" s="65" t="n">
        <f aca="false">Assumptions!$E$96*(K49-K114-K127+K49*Assumptions!$C$71*Assumptions!$C$72)</f>
        <v>3752.08116</v>
      </c>
      <c r="L140" s="65" t="n">
        <f aca="false">Assumptions!$E$96*(L49-L114-L127+L49*Assumptions!$C$71*Assumptions!$C$72)</f>
        <v>3752.08116</v>
      </c>
      <c r="M140" s="65" t="n">
        <f aca="false">Assumptions!$E$96*(M49-M114-M127+M49*Assumptions!$C$71*Assumptions!$C$72)</f>
        <v>3689.546474</v>
      </c>
      <c r="N140" s="65" t="n">
        <f aca="false">Assumptions!$E$96*(N49-N114-N127+N49*Assumptions!$C$71*Assumptions!$C$72)</f>
        <v>3628.05403276667</v>
      </c>
      <c r="O140" s="65" t="n">
        <f aca="false">Assumptions!$E$96*(O49-O114-O127+O49*Assumptions!$C$71*Assumptions!$C$72)</f>
        <v>4255.46801155389</v>
      </c>
      <c r="P140" s="65" t="n">
        <f aca="false">Assumptions!$E$96*(P49-P114-P127+P49*Assumptions!$C$71*Assumptions!$C$72)</f>
        <v>4246.03598592799</v>
      </c>
      <c r="Q140" s="65" t="n">
        <f aca="false">Assumptions!$E$96*(Q49-Q114-Q127+Q49*Assumptions!$C$71*Assumptions!$C$72)</f>
        <v>5007.36132386802</v>
      </c>
      <c r="R140" s="65" t="n">
        <f aca="false">Assumptions!$E$96*(R49-R114-R127+R49*Assumptions!$C$71*Assumptions!$C$72)</f>
        <v>4996.96400529587</v>
      </c>
      <c r="S140" s="65" t="n">
        <f aca="false">Assumptions!$E$96*(S49-S114-S127+S49*Assumptions!$C$71*Assumptions!$C$72)</f>
        <v>4986.57804451393</v>
      </c>
      <c r="T140" s="65" t="n">
        <f aca="false">Assumptions!$E$96*(T49-T114-T127+T49*Assumptions!$C$71*Assumptions!$C$72)</f>
        <v>4986.92443250317</v>
      </c>
      <c r="U140" s="65" t="n">
        <f aca="false">Assumptions!$E$96*(U49-U114-U127+U49*Assumptions!$C$71*Assumptions!$C$72)</f>
        <v>4987.09175871638</v>
      </c>
      <c r="V140" s="65" t="n">
        <f aca="false">Assumptions!$E$96*(V49-V114-V127+V49*Assumptions!$C$71*Assumptions!$C$72)</f>
        <v>4987.08319681301</v>
      </c>
      <c r="W140" s="65" t="n">
        <f aca="false">Assumptions!$E$96*(W49-W114-W127+W49*Assumptions!$C$71*Assumptions!$C$72)</f>
        <v>4987.08055074118</v>
      </c>
      <c r="X140" s="65" t="n">
        <f aca="false">Assumptions!$E$96*(X49-X114-X127+X49*Assumptions!$C$71*Assumptions!$C$72)</f>
        <v>4987.08073754076</v>
      </c>
      <c r="Y140" s="65" t="n">
        <f aca="false">Assumptions!$E$96*(Y49-Y114-Y127+Y49*Assumptions!$C$71*Assumptions!$C$72)</f>
        <v>4987.08077852864</v>
      </c>
      <c r="Z140" s="65" t="n">
        <f aca="false">Assumptions!$E$96*(Z49-Z114-Z127+Z49*Assumptions!$C$71*Assumptions!$C$72)</f>
        <v>4987.08077473218</v>
      </c>
      <c r="AA140" s="65" t="n">
        <f aca="false">Assumptions!$E$96*(AA49-AA114-AA127+AA49*Assumptions!$C$71*Assumptions!$C$72)</f>
        <v>4987.08077411232</v>
      </c>
      <c r="AB140" s="65" t="n">
        <f aca="false">Assumptions!$E$96*(AB49-AB114-AB127+AB49*Assumptions!$C$71*Assumptions!$C$72)</f>
        <v>4987.08077418592</v>
      </c>
    </row>
    <row r="141" customFormat="false" ht="15" hidden="false" customHeight="false" outlineLevel="0" collapsed="false">
      <c r="A141" s="28" t="s">
        <v>1228</v>
      </c>
      <c r="B141" s="62" t="s">
        <v>1219</v>
      </c>
      <c r="C141" s="64" t="n">
        <f aca="false">SUM(E141:P141)</f>
        <v>6832.43180116157</v>
      </c>
      <c r="D141" s="64" t="n">
        <f aca="false">SUM(Q141:AB141)</f>
        <v>7364.91342010499</v>
      </c>
      <c r="E141" s="65" t="n">
        <f aca="false">Assumptions!$E$97*(E50-E115-E128+E50*Assumptions!$C$71*Assumptions!$C$72)</f>
        <v>656.072</v>
      </c>
      <c r="F141" s="65" t="n">
        <f aca="false">Assumptions!$E$97*(F50-F115-F128+F50*Assumptions!$C$71*Assumptions!$C$72)</f>
        <v>656.072</v>
      </c>
      <c r="G141" s="65" t="n">
        <f aca="false">Assumptions!$E$97*(G50-G115-G128+G50*Assumptions!$C$71*Assumptions!$C$72)</f>
        <v>656.072</v>
      </c>
      <c r="H141" s="65" t="n">
        <f aca="false">Assumptions!$E$97*(H50-H115-H128+H50*Assumptions!$C$71*Assumptions!$C$72)</f>
        <v>656.072</v>
      </c>
      <c r="I141" s="65" t="n">
        <f aca="false">Assumptions!$E$97*(I50-I115-I128+I50*Assumptions!$C$71*Assumptions!$C$72)</f>
        <v>656.072</v>
      </c>
      <c r="J141" s="65" t="n">
        <f aca="false">Assumptions!$E$97*(J50-J115-J128+J50*Assumptions!$C$71*Assumptions!$C$72)</f>
        <v>656.072</v>
      </c>
      <c r="K141" s="65" t="n">
        <f aca="false">Assumptions!$E$97*(K50-K115-K128+K50*Assumptions!$C$71*Assumptions!$C$72)</f>
        <v>492.054</v>
      </c>
      <c r="L141" s="65" t="n">
        <f aca="false">Assumptions!$E$97*(L50-L115-L128+L50*Assumptions!$C$71*Assumptions!$C$72)</f>
        <v>492.054</v>
      </c>
      <c r="M141" s="65" t="n">
        <f aca="false">Assumptions!$E$97*(M50-M115-M128+M50*Assumptions!$C$71*Assumptions!$C$72)</f>
        <v>483.8531</v>
      </c>
      <c r="N141" s="65" t="n">
        <f aca="false">Assumptions!$E$97*(N50-N115-N128+N50*Assumptions!$C$71*Assumptions!$C$72)</f>
        <v>475.788881666667</v>
      </c>
      <c r="O141" s="65" t="n">
        <f aca="false">Assumptions!$E$97*(O50-O115-O128+O50*Assumptions!$C$71*Assumptions!$C$72)</f>
        <v>476.059966972222</v>
      </c>
      <c r="P141" s="65" t="n">
        <f aca="false">Assumptions!$E$97*(P50-P115-P128+P50*Assumptions!$C$71*Assumptions!$C$72)</f>
        <v>476.189852522685</v>
      </c>
      <c r="Q141" s="65" t="n">
        <f aca="false">Assumptions!$E$97*(Q50-Q115-Q128+Q50*Assumptions!$C$71*Assumptions!$C$72)</f>
        <v>490.468664765337</v>
      </c>
      <c r="R141" s="65" t="n">
        <f aca="false">Assumptions!$E$97*(R50-R115-R128+R50*Assumptions!$C$71*Assumptions!$C$72)</f>
        <v>490.466549785605</v>
      </c>
      <c r="S141" s="65" t="n">
        <f aca="false">Assumptions!$E$97*(S50-S115-S128+S50*Assumptions!$C$71*Assumptions!$C$72)</f>
        <v>490.466699757484</v>
      </c>
      <c r="T141" s="65" t="n">
        <f aca="false">Assumptions!$E$97*(T50-T115-T128+T50*Assumptions!$C$71*Assumptions!$C$72)</f>
        <v>659.405272507615</v>
      </c>
      <c r="U141" s="65" t="n">
        <f aca="false">Assumptions!$E$97*(U50-U115-U128+U50*Assumptions!$C$71*Assumptions!$C$72)</f>
        <v>656.589627128915</v>
      </c>
      <c r="V141" s="65" t="n">
        <f aca="false">Assumptions!$E$97*(V50-V115-V128+V50*Assumptions!$C$71*Assumptions!$C$72)</f>
        <v>653.820911672725</v>
      </c>
      <c r="W141" s="65" t="n">
        <f aca="false">Assumptions!$E$97*(W50-W115-W128+W50*Assumptions!$C$71*Assumptions!$C$72)</f>
        <v>653.913984353306</v>
      </c>
      <c r="X141" s="65" t="n">
        <f aca="false">Assumptions!$E$97*(X50-X115-X128+X50*Assumptions!$C$71*Assumptions!$C$72)</f>
        <v>653.958578399566</v>
      </c>
      <c r="Y141" s="65" t="n">
        <f aca="false">Assumptions!$E$97*(Y50-Y115-Y128+Y50*Assumptions!$C$71*Assumptions!$C$72)</f>
        <v>653.956283954119</v>
      </c>
      <c r="Z141" s="65" t="n">
        <f aca="false">Assumptions!$E$97*(Z50-Z115-Z128+Z50*Assumptions!$C$71*Assumptions!$C$72)</f>
        <v>653.955578960772</v>
      </c>
      <c r="AA141" s="65" t="n">
        <f aca="false">Assumptions!$E$97*(AA50-AA115-AA128+AA50*Assumptions!$C$71*Assumptions!$C$72)</f>
        <v>653.955628951419</v>
      </c>
      <c r="AB141" s="65" t="n">
        <f aca="false">Assumptions!$E$97*(AB50-AB115-AB128+AB50*Assumptions!$C$71*Assumptions!$C$72)</f>
        <v>653.95563986813</v>
      </c>
    </row>
    <row r="142" customFormat="false" ht="15" hidden="false" customHeight="false" outlineLevel="0" collapsed="false">
      <c r="A142" s="28" t="s">
        <v>1229</v>
      </c>
      <c r="B142" s="62" t="s">
        <v>1219</v>
      </c>
      <c r="C142" s="64" t="n">
        <f aca="false">SUM(E142:P142)</f>
        <v>20139.7603534184</v>
      </c>
      <c r="D142" s="64" t="n">
        <f aca="false">SUM(Q142:AB142)</f>
        <v>25279.2481010952</v>
      </c>
      <c r="E142" s="65" t="n">
        <f aca="false">Assumptions!$E$98*(E51-E116-E129+E51*Assumptions!$C$71*Assumptions!$C$72)</f>
        <v>1427.65158</v>
      </c>
      <c r="F142" s="65" t="n">
        <f aca="false">Assumptions!$E$98*(F51-F116-F129+F51*Assumptions!$C$71*Assumptions!$C$72)</f>
        <v>1427.65158</v>
      </c>
      <c r="G142" s="65" t="n">
        <f aca="false">Assumptions!$E$98*(G51-G116-G129+G51*Assumptions!$C$71*Assumptions!$C$72)</f>
        <v>1427.65158</v>
      </c>
      <c r="H142" s="65" t="n">
        <f aca="false">Assumptions!$E$98*(H51-H116-H129+H51*Assumptions!$C$71*Assumptions!$C$72)</f>
        <v>1784.564475</v>
      </c>
      <c r="I142" s="65" t="n">
        <f aca="false">Assumptions!$E$98*(I51-I116-I129+I51*Assumptions!$C$71*Assumptions!$C$72)</f>
        <v>1784.564475</v>
      </c>
      <c r="J142" s="65" t="n">
        <f aca="false">Assumptions!$E$98*(J51-J116-J129+J51*Assumptions!$C$71*Assumptions!$C$72)</f>
        <v>1784.564475</v>
      </c>
      <c r="K142" s="65" t="n">
        <f aca="false">Assumptions!$E$98*(K51-K116-K129+K51*Assumptions!$C$71*Assumptions!$C$72)</f>
        <v>1784.564475</v>
      </c>
      <c r="L142" s="65" t="n">
        <f aca="false">Assumptions!$E$98*(L51-L116-L129+L51*Assumptions!$C$71*Assumptions!$C$72)</f>
        <v>1784.564475</v>
      </c>
      <c r="M142" s="65" t="n">
        <f aca="false">Assumptions!$E$98*(M51-M116-M129+M51*Assumptions!$C$71*Assumptions!$C$72)</f>
        <v>1754.82173375</v>
      </c>
      <c r="N142" s="65" t="n">
        <f aca="false">Assumptions!$E$98*(N51-N116-N129+N51*Assumptions!$C$71*Assumptions!$C$72)</f>
        <v>1725.57470485417</v>
      </c>
      <c r="O142" s="65" t="n">
        <f aca="false">Assumptions!$E$98*(O51-O116-O129+O51*Assumptions!$C$71*Assumptions!$C$72)</f>
        <v>1726.55786768993</v>
      </c>
      <c r="P142" s="65" t="n">
        <f aca="false">Assumptions!$E$98*(P51-P116-P129+P51*Assumptions!$C$71*Assumptions!$C$72)</f>
        <v>1727.02893212427</v>
      </c>
      <c r="Q142" s="65" t="n">
        <f aca="false">Assumptions!$E$98*(Q51-Q116-Q129+Q51*Assumptions!$C$71*Assumptions!$C$72)</f>
        <v>1779.02290433566</v>
      </c>
      <c r="R142" s="65" t="n">
        <f aca="false">Assumptions!$E$98*(R51-R116-R129+R51*Assumptions!$C$71*Assumptions!$C$72)</f>
        <v>2146.6785154029</v>
      </c>
      <c r="S142" s="65" t="n">
        <f aca="false">Assumptions!$E$98*(S51-S116-S129+S51*Assumptions!$C$71*Assumptions!$C$72)</f>
        <v>2140.55133800436</v>
      </c>
      <c r="T142" s="65" t="n">
        <f aca="false">Assumptions!$E$98*(T51-T116-T129+T51*Assumptions!$C$71*Assumptions!$C$72)</f>
        <v>2134.52586410988</v>
      </c>
      <c r="U142" s="65" t="n">
        <f aca="false">Assumptions!$E$98*(U51-U116-U129+U51*Assumptions!$C$71*Assumptions!$C$72)</f>
        <v>2134.7284082981</v>
      </c>
      <c r="V142" s="65" t="n">
        <f aca="false">Assumptions!$E$98*(V51-V116-V129+V51*Assumptions!$C$71*Assumptions!$C$72)</f>
        <v>2134.82545712653</v>
      </c>
      <c r="W142" s="65" t="n">
        <f aca="false">Assumptions!$E$98*(W51-W116-W129+W51*Assumptions!$C$71*Assumptions!$C$72)</f>
        <v>2134.82046390959</v>
      </c>
      <c r="X142" s="65" t="n">
        <f aca="false">Assumptions!$E$98*(X51-X116-X129+X51*Assumptions!$C$71*Assumptions!$C$72)</f>
        <v>2134.8189296494</v>
      </c>
      <c r="Y142" s="65" t="n">
        <f aca="false">Assumptions!$E$98*(Y51-Y116-Y129+Y51*Assumptions!$C$71*Assumptions!$C$72)</f>
        <v>2134.81903844068</v>
      </c>
      <c r="Z142" s="65" t="n">
        <f aca="false">Assumptions!$E$98*(Z51-Z116-Z129+Z51*Assumptions!$C$71*Assumptions!$C$72)</f>
        <v>2134.8190621985</v>
      </c>
      <c r="AA142" s="65" t="n">
        <f aca="false">Assumptions!$E$98*(AA51-AA116-AA129+AA51*Assumptions!$C$71*Assumptions!$C$72)</f>
        <v>2134.81905998935</v>
      </c>
      <c r="AB142" s="65" t="n">
        <f aca="false">Assumptions!$E$98*(AB51-AB116-AB129+AB51*Assumptions!$C$71*Assumptions!$C$72)</f>
        <v>2134.8190596302</v>
      </c>
    </row>
    <row r="143" customFormat="false" ht="15" hidden="false" customHeight="false" outlineLevel="0" collapsed="false">
      <c r="A143" s="28" t="s">
        <v>1230</v>
      </c>
      <c r="B143" s="62" t="s">
        <v>1219</v>
      </c>
      <c r="C143" s="64" t="n">
        <f aca="false">SUM(E143:P143)</f>
        <v>46092.2575490761</v>
      </c>
      <c r="D143" s="64" t="n">
        <f aca="false">SUM(Q143:AB143)</f>
        <v>47034.1321001762</v>
      </c>
      <c r="E143" s="65" t="n">
        <f aca="false">Assumptions!$E$99*(E52-E117-E130+E52*Assumptions!$C$71*Assumptions!$C$72)</f>
        <v>3855.90286666667</v>
      </c>
      <c r="F143" s="65" t="n">
        <f aca="false">Assumptions!$E$99*(F52-F117-F130+F52*Assumptions!$C$71*Assumptions!$C$72)</f>
        <v>3855.90286666667</v>
      </c>
      <c r="G143" s="65" t="n">
        <f aca="false">Assumptions!$E$99*(G52-G117-G130+G52*Assumptions!$C$71*Assumptions!$C$72)</f>
        <v>3855.90286666667</v>
      </c>
      <c r="H143" s="65" t="n">
        <f aca="false">Assumptions!$E$99*(H52-H117-H130+H52*Assumptions!$C$71*Assumptions!$C$72)</f>
        <v>3855.90286666667</v>
      </c>
      <c r="I143" s="65" t="n">
        <f aca="false">Assumptions!$E$99*(I52-I117-I130+I52*Assumptions!$C$71*Assumptions!$C$72)</f>
        <v>3855.90286666667</v>
      </c>
      <c r="J143" s="65" t="n">
        <f aca="false">Assumptions!$E$99*(J52-J117-J130+J52*Assumptions!$C$71*Assumptions!$C$72)</f>
        <v>3855.90286666667</v>
      </c>
      <c r="K143" s="65" t="n">
        <f aca="false">Assumptions!$E$99*(K52-K117-K130+K52*Assumptions!$C$71*Assumptions!$C$72)</f>
        <v>3855.90286666667</v>
      </c>
      <c r="L143" s="65" t="n">
        <f aca="false">Assumptions!$E$99*(L52-L117-L130+L52*Assumptions!$C$71*Assumptions!$C$72)</f>
        <v>3855.90286666667</v>
      </c>
      <c r="M143" s="65" t="n">
        <f aca="false">Assumptions!$E$99*(M52-M117-M130+M52*Assumptions!$C$71*Assumptions!$C$72)</f>
        <v>3830.19684755556</v>
      </c>
      <c r="N143" s="65" t="n">
        <f aca="false">Assumptions!$E$99*(N52-N117-N130+N52*Assumptions!$C$71*Assumptions!$C$72)</f>
        <v>3804.66220190519</v>
      </c>
      <c r="O143" s="65" t="n">
        <f aca="false">Assumptions!$E$99*(O52-O117-O130+O52*Assumptions!$C$71*Assumptions!$C$72)</f>
        <v>3805.00380633693</v>
      </c>
      <c r="P143" s="65" t="n">
        <f aca="false">Assumptions!$E$99*(P52-P117-P130+P52*Assumptions!$C$71*Assumptions!$C$72)</f>
        <v>3805.17175994505</v>
      </c>
      <c r="Q143" s="65" t="n">
        <f aca="false">Assumptions!$E$99*(Q52-Q117-Q130+Q52*Assumptions!$C$71*Assumptions!$C$72)</f>
        <v>3919.51201317285</v>
      </c>
      <c r="R143" s="65" t="n">
        <f aca="false">Assumptions!$E$99*(R52-R117-R130+R52*Assumptions!$C$71*Assumptions!$C$72)</f>
        <v>3919.51088316347</v>
      </c>
      <c r="S143" s="65" t="n">
        <f aca="false">Assumptions!$E$99*(S52-S117-S130+S52*Assumptions!$C$71*Assumptions!$C$72)</f>
        <v>3919.51091402442</v>
      </c>
      <c r="T143" s="65" t="n">
        <f aca="false">Assumptions!$E$99*(T52-T117-T130+T52*Assumptions!$C$71*Assumptions!$C$72)</f>
        <v>3919.51092135208</v>
      </c>
      <c r="U143" s="65" t="n">
        <f aca="false">Assumptions!$E$99*(U52-U117-U130+U52*Assumptions!$C$71*Assumptions!$C$72)</f>
        <v>3919.51092109749</v>
      </c>
      <c r="V143" s="65" t="n">
        <f aca="false">Assumptions!$E$99*(V52-V117-V130+V52*Assumptions!$C$71*Assumptions!$C$72)</f>
        <v>3919.51092105034</v>
      </c>
      <c r="W143" s="65" t="n">
        <f aca="false">Assumptions!$E$99*(W52-W117-W130+W52*Assumptions!$C$71*Assumptions!$C$72)</f>
        <v>3919.51092105235</v>
      </c>
      <c r="X143" s="65" t="n">
        <f aca="false">Assumptions!$E$99*(X52-X117-X130+X52*Assumptions!$C$71*Assumptions!$C$72)</f>
        <v>3919.51092105265</v>
      </c>
      <c r="Y143" s="65" t="n">
        <f aca="false">Assumptions!$E$99*(Y52-Y117-Y130+Y52*Assumptions!$C$71*Assumptions!$C$72)</f>
        <v>3919.51092105263</v>
      </c>
      <c r="Z143" s="65" t="n">
        <f aca="false">Assumptions!$E$99*(Z52-Z117-Z130+Z52*Assumptions!$C$71*Assumptions!$C$72)</f>
        <v>3919.51092105263</v>
      </c>
      <c r="AA143" s="65" t="n">
        <f aca="false">Assumptions!$E$99*(AA52-AA117-AA130+AA52*Assumptions!$C$71*Assumptions!$C$72)</f>
        <v>3919.51092105263</v>
      </c>
      <c r="AB143" s="65" t="n">
        <f aca="false">Assumptions!$E$99*(AB52-AB117-AB130+AB52*Assumptions!$C$71*Assumptions!$C$72)</f>
        <v>3919.51092105263</v>
      </c>
    </row>
    <row r="144" customFormat="false" ht="15" hidden="false" customHeight="false" outlineLevel="0" collapsed="false">
      <c r="A144" s="28" t="s">
        <v>1231</v>
      </c>
      <c r="B144" s="62" t="s">
        <v>1219</v>
      </c>
      <c r="C144" s="64" t="n">
        <f aca="false">SUM(E144:P144)</f>
        <v>19032.0882868532</v>
      </c>
      <c r="D144" s="64" t="n">
        <f aca="false">SUM(Q144:AB144)</f>
        <v>21650.3167627682</v>
      </c>
      <c r="E144" s="65" t="n">
        <f aca="false">Assumptions!$E$100*(E53-E118-E131+E53*Assumptions!$C$71*Assumptions!$C$72)</f>
        <v>1364.85286666667</v>
      </c>
      <c r="F144" s="65" t="n">
        <f aca="false">Assumptions!$E$100*(F53-F118-F131+F53*Assumptions!$C$71*Assumptions!$C$72)</f>
        <v>1364.85286666667</v>
      </c>
      <c r="G144" s="65" t="n">
        <f aca="false">Assumptions!$E$100*(G53-G118-G131+G53*Assumptions!$C$71*Assumptions!$C$72)</f>
        <v>1637.82344</v>
      </c>
      <c r="H144" s="65" t="n">
        <f aca="false">Assumptions!$E$100*(H53-H118-H131+H53*Assumptions!$C$71*Assumptions!$C$72)</f>
        <v>1637.82344</v>
      </c>
      <c r="I144" s="65" t="n">
        <f aca="false">Assumptions!$E$100*(I53-I118-I131+I53*Assumptions!$C$71*Assumptions!$C$72)</f>
        <v>1637.82344</v>
      </c>
      <c r="J144" s="65" t="n">
        <f aca="false">Assumptions!$E$100*(J53-J118-J131+J53*Assumptions!$C$71*Assumptions!$C$72)</f>
        <v>1637.82344</v>
      </c>
      <c r="K144" s="65" t="n">
        <f aca="false">Assumptions!$E$100*(K53-K118-K131+K53*Assumptions!$C$71*Assumptions!$C$72)</f>
        <v>1637.82344</v>
      </c>
      <c r="L144" s="65" t="n">
        <f aca="false">Assumptions!$E$100*(L53-L118-L131+L53*Assumptions!$C$71*Assumptions!$C$72)</f>
        <v>1637.82344</v>
      </c>
      <c r="M144" s="65" t="n">
        <f aca="false">Assumptions!$E$100*(M53-M118-M131+M53*Assumptions!$C$71*Assumptions!$C$72)</f>
        <v>1626.90461706667</v>
      </c>
      <c r="N144" s="65" t="n">
        <f aca="false">Assumptions!$E$100*(N53-N118-N131+N53*Assumptions!$C$71*Assumptions!$C$72)</f>
        <v>1616.05858628622</v>
      </c>
      <c r="O144" s="65" t="n">
        <f aca="false">Assumptions!$E$100*(O53-O118-O131+O53*Assumptions!$C$71*Assumptions!$C$72)</f>
        <v>1616.20368531098</v>
      </c>
      <c r="P144" s="65" t="n">
        <f aca="false">Assumptions!$E$100*(P53-P118-P131+P53*Assumptions!$C$71*Assumptions!$C$72)</f>
        <v>1616.27502485602</v>
      </c>
      <c r="Q144" s="65" t="n">
        <f aca="false">Assumptions!$E$100*(Q53-Q118-Q131+Q53*Assumptions!$C$71*Assumptions!$C$72)</f>
        <v>1664.98810866377</v>
      </c>
      <c r="R144" s="65" t="n">
        <f aca="false">Assumptions!$E$100*(R53-R118-R131+R53*Assumptions!$C$71*Assumptions!$C$72)</f>
        <v>1664.98762864173</v>
      </c>
      <c r="S144" s="65" t="n">
        <f aca="false">Assumptions!$E$100*(S53-S118-S131+S53*Assumptions!$C$71*Assumptions!$C$72)</f>
        <v>1664.9876417513</v>
      </c>
      <c r="T144" s="65" t="n">
        <f aca="false">Assumptions!$E$100*(T53-T118-T131+T53*Assumptions!$C$71*Assumptions!$C$72)</f>
        <v>1664.98764486405</v>
      </c>
      <c r="U144" s="65" t="n">
        <f aca="false">Assumptions!$E$100*(U53-U118-U131+U53*Assumptions!$C$71*Assumptions!$C$72)</f>
        <v>1664.9876447559</v>
      </c>
      <c r="V144" s="65" t="n">
        <f aca="false">Assumptions!$E$100*(V53-V118-V131+V53*Assumptions!$C$71*Assumptions!$C$72)</f>
        <v>1664.98764473587</v>
      </c>
      <c r="W144" s="65" t="n">
        <f aca="false">Assumptions!$E$100*(W53-W118-W131+W53*Assumptions!$C$71*Assumptions!$C$72)</f>
        <v>1946.18555807006</v>
      </c>
      <c r="X144" s="65" t="n">
        <f aca="false">Assumptions!$E$100*(X53-X118-X131+X53*Assumptions!$C$71*Assumptions!$C$72)</f>
        <v>1944.31090531463</v>
      </c>
      <c r="Y144" s="65" t="n">
        <f aca="false">Assumptions!$E$100*(Y53-Y118-Y131+Y53*Assumptions!$C$71*Assumptions!$C$72)</f>
        <v>1942.4487502441</v>
      </c>
      <c r="Z144" s="65" t="n">
        <f aca="false">Assumptions!$E$100*(Z53-Z118-Z131+Z53*Assumptions!$C$71*Assumptions!$C$72)</f>
        <v>1942.47366229628</v>
      </c>
      <c r="AA144" s="65" t="n">
        <f aca="false">Assumptions!$E$100*(AA53-AA118-AA131+AA53*Assumptions!$C$71*Assumptions!$C$72)</f>
        <v>1942.48591058306</v>
      </c>
      <c r="AB144" s="65" t="n">
        <f aca="false">Assumptions!$E$100*(AB53-AB118-AB131+AB53*Assumptions!$C$71*Assumptions!$C$72)</f>
        <v>1942.48566284747</v>
      </c>
    </row>
    <row r="145" customFormat="false" ht="15" hidden="false" customHeight="false" outlineLevel="0" collapsed="false">
      <c r="A145" s="28" t="s">
        <v>1232</v>
      </c>
      <c r="B145" s="62" t="s">
        <v>1233</v>
      </c>
      <c r="C145" s="64" t="n">
        <f aca="false">SUM(E145:P145)</f>
        <v>10399.1530135031</v>
      </c>
      <c r="D145" s="64" t="n">
        <f aca="false">SUM(Q145:AB145)</f>
        <v>11980.1045895388</v>
      </c>
      <c r="E145" s="65" t="n">
        <f aca="false">E9*Assumptions!$C$81*Assumptions!E$211</f>
        <v>770</v>
      </c>
      <c r="F145" s="65" t="n">
        <f aca="false">F9*Assumptions!$C$81*Assumptions!F$211</f>
        <v>880</v>
      </c>
      <c r="G145" s="65" t="n">
        <f aca="false">G9*Assumptions!$C$81*Assumptions!G$211</f>
        <v>880</v>
      </c>
      <c r="H145" s="65" t="n">
        <f aca="false">H9*Assumptions!$C$81*Assumptions!H$211</f>
        <v>880</v>
      </c>
      <c r="I145" s="65" t="n">
        <f aca="false">I9*Assumptions!$C$81*Assumptions!I$211</f>
        <v>880</v>
      </c>
      <c r="J145" s="65" t="n">
        <f aca="false">J9*Assumptions!$C$81*Assumptions!J$211</f>
        <v>880</v>
      </c>
      <c r="K145" s="65" t="n">
        <f aca="false">K9*Assumptions!$C$81*Assumptions!K$211</f>
        <v>880</v>
      </c>
      <c r="L145" s="65" t="n">
        <f aca="false">L9*Assumptions!$C$81*Assumptions!L$211</f>
        <v>880</v>
      </c>
      <c r="M145" s="65" t="n">
        <f aca="false">M9*Assumptions!$C$81*Assumptions!M$211</f>
        <v>872.666666666667</v>
      </c>
      <c r="N145" s="65" t="n">
        <f aca="false">N9*Assumptions!$C$81*Assumptions!N$211</f>
        <v>865.394444444445</v>
      </c>
      <c r="O145" s="65" t="n">
        <f aca="false">O9*Assumptions!$C$81*Assumptions!O$211</f>
        <v>865.516157407408</v>
      </c>
      <c r="P145" s="65" t="n">
        <f aca="false">P9*Assumptions!$C$81*Assumptions!P$211</f>
        <v>865.575744984568</v>
      </c>
      <c r="Q145" s="65" t="n">
        <f aca="false">Q9*Assumptions!$C$81*Assumptions!Q$211</f>
        <v>999.963590000402</v>
      </c>
      <c r="R145" s="65" t="n">
        <f aca="false">R9*Assumptions!$C$81*Assumptions!R$211</f>
        <v>999.02351059492</v>
      </c>
      <c r="S145" s="65" t="n">
        <f aca="false">S9*Assumptions!$C$81*Assumptions!S$211</f>
        <v>998.091774161706</v>
      </c>
      <c r="T145" s="65" t="n">
        <f aca="false">T9*Assumptions!$C$81*Assumptions!T$211</f>
        <v>998.107372627028</v>
      </c>
      <c r="U145" s="65" t="n">
        <f aca="false">U9*Assumptions!$C$81*Assumptions!U$211</f>
        <v>998.115007110094</v>
      </c>
      <c r="V145" s="65" t="n">
        <f aca="false">V9*Assumptions!$C$81*Assumptions!V$211</f>
        <v>998.114813502191</v>
      </c>
      <c r="W145" s="65" t="n">
        <f aca="false">W9*Assumptions!$C$81*Assumptions!W$211</f>
        <v>998.114751494897</v>
      </c>
      <c r="X145" s="65" t="n">
        <f aca="false">X9*Assumptions!$C$81*Assumptions!X$211</f>
        <v>998.114753625024</v>
      </c>
      <c r="Y145" s="65" t="n">
        <f aca="false">Y9*Assumptions!$C$81*Assumptions!Y$211</f>
        <v>998.114754124001</v>
      </c>
      <c r="Z145" s="65" t="n">
        <f aca="false">Z9*Assumptions!$C$81*Assumptions!Z$211</f>
        <v>998.114754102091</v>
      </c>
      <c r="AA145" s="65" t="n">
        <f aca="false">AA9*Assumptions!$C$81*Assumptions!AA$211</f>
        <v>998.114754098116</v>
      </c>
      <c r="AB145" s="65" t="n">
        <f aca="false">AB9*Assumptions!$C$81*Assumptions!AB$211</f>
        <v>998.114754098332</v>
      </c>
    </row>
    <row r="146" customFormat="false" ht="15" hidden="false" customHeight="false" outlineLevel="0" collapsed="false">
      <c r="A146" s="28" t="s">
        <v>1234</v>
      </c>
      <c r="B146" s="62" t="s">
        <v>1233</v>
      </c>
      <c r="C146" s="64" t="n">
        <f aca="false">SUM(E146:P146)</f>
        <v>15217.3430324556</v>
      </c>
      <c r="D146" s="64" t="n">
        <f aca="false">SUM(Q146:AB146)</f>
        <v>17527.9064336427</v>
      </c>
      <c r="E146" s="65" t="n">
        <f aca="false">E10*Assumptions!$C$81*Assumptions!E$211</f>
        <v>1210</v>
      </c>
      <c r="F146" s="65" t="n">
        <f aca="false">F10*Assumptions!$C$81*Assumptions!F$211</f>
        <v>1210</v>
      </c>
      <c r="G146" s="65" t="n">
        <f aca="false">G10*Assumptions!$C$81*Assumptions!G$211</f>
        <v>1210</v>
      </c>
      <c r="H146" s="65" t="n">
        <f aca="false">H10*Assumptions!$C$81*Assumptions!H$211</f>
        <v>1320</v>
      </c>
      <c r="I146" s="65" t="n">
        <f aca="false">I10*Assumptions!$C$81*Assumptions!I$211</f>
        <v>1320</v>
      </c>
      <c r="J146" s="65" t="n">
        <f aca="false">J10*Assumptions!$C$81*Assumptions!J$211</f>
        <v>1320</v>
      </c>
      <c r="K146" s="65" t="n">
        <f aca="false">K10*Assumptions!$C$81*Assumptions!K$211</f>
        <v>1320</v>
      </c>
      <c r="L146" s="65" t="n">
        <f aca="false">L10*Assumptions!$C$81*Assumptions!L$211</f>
        <v>1210</v>
      </c>
      <c r="M146" s="65" t="n">
        <f aca="false">M10*Assumptions!$C$81*Assumptions!M$211</f>
        <v>1199.91666666667</v>
      </c>
      <c r="N146" s="65" t="n">
        <f aca="false">N10*Assumptions!$C$81*Assumptions!N$211</f>
        <v>1299.91736111111</v>
      </c>
      <c r="O146" s="65" t="n">
        <f aca="false">O10*Assumptions!$C$81*Assumptions!O$211</f>
        <v>1299.16804976852</v>
      </c>
      <c r="P146" s="65" t="n">
        <f aca="false">P10*Assumptions!$C$81*Assumptions!P$211</f>
        <v>1298.34095490934</v>
      </c>
      <c r="Q146" s="65" t="n">
        <f aca="false">Q10*Assumptions!$C$81*Assumptions!Q$211</f>
        <v>1330.81294391838</v>
      </c>
      <c r="R146" s="65" t="n">
        <f aca="false">R10*Assumptions!$C$81*Assumptions!R$211</f>
        <v>1330.8198964775</v>
      </c>
      <c r="S146" s="65" t="n">
        <f aca="false">S10*Assumptions!$C$81*Assumptions!S$211</f>
        <v>1443.56972633003</v>
      </c>
      <c r="T146" s="65" t="n">
        <f aca="false">T10*Assumptions!$C$81*Assumptions!T$211</f>
        <v>1442.6300864766</v>
      </c>
      <c r="U146" s="65" t="n">
        <f aca="false">U10*Assumptions!$C$81*Assumptions!U$211</f>
        <v>1441.69833489328</v>
      </c>
      <c r="V146" s="65" t="n">
        <f aca="false">V10*Assumptions!$C$81*Assumptions!V$211</f>
        <v>1441.71392982192</v>
      </c>
      <c r="W146" s="65" t="n">
        <f aca="false">W10*Assumptions!$C$81*Assumptions!W$211</f>
        <v>1441.72156446071</v>
      </c>
      <c r="X146" s="65" t="n">
        <f aca="false">X10*Assumptions!$C$81*Assumptions!X$211</f>
        <v>1441.72137088098</v>
      </c>
      <c r="Y146" s="65" t="n">
        <f aca="false">Y10*Assumptions!$C$81*Assumptions!Y$211</f>
        <v>1554.47130887215</v>
      </c>
      <c r="Z146" s="65" t="n">
        <f aca="false">Z10*Assumptions!$C$81*Assumptions!Z$211</f>
        <v>1553.53172766872</v>
      </c>
      <c r="AA146" s="65" t="n">
        <f aca="false">AA10*Assumptions!$C$81*Assumptions!AA$211</f>
        <v>1552.59997469549</v>
      </c>
      <c r="AB146" s="65" t="n">
        <f aca="false">AB10*Assumptions!$C$81*Assumptions!AB$211</f>
        <v>1552.61556914696</v>
      </c>
    </row>
    <row r="147" customFormat="false" ht="15" hidden="false" customHeight="false" outlineLevel="0" collapsed="false">
      <c r="A147" s="28" t="s">
        <v>1235</v>
      </c>
      <c r="B147" s="62" t="s">
        <v>1233</v>
      </c>
      <c r="C147" s="64" t="n">
        <f aca="false">SUM(E147:P147)</f>
        <v>18061.0177736304</v>
      </c>
      <c r="D147" s="64" t="n">
        <f aca="false">SUM(Q147:AB147)</f>
        <v>22077.6082874449</v>
      </c>
      <c r="E147" s="65" t="n">
        <f aca="false">E11*Assumptions!$C$81*Assumptions!E$211</f>
        <v>1430</v>
      </c>
      <c r="F147" s="65" t="n">
        <f aca="false">F11*Assumptions!$C$81*Assumptions!F$211</f>
        <v>1430</v>
      </c>
      <c r="G147" s="65" t="n">
        <f aca="false">G11*Assumptions!$C$81*Assumptions!G$211</f>
        <v>1540</v>
      </c>
      <c r="H147" s="65" t="n">
        <f aca="false">H11*Assumptions!$C$81*Assumptions!H$211</f>
        <v>1540</v>
      </c>
      <c r="I147" s="65" t="n">
        <f aca="false">I11*Assumptions!$C$81*Assumptions!I$211</f>
        <v>1430</v>
      </c>
      <c r="J147" s="65" t="n">
        <f aca="false">J11*Assumptions!$C$81*Assumptions!J$211</f>
        <v>1540</v>
      </c>
      <c r="K147" s="65" t="n">
        <f aca="false">K11*Assumptions!$C$81*Assumptions!K$211</f>
        <v>1540</v>
      </c>
      <c r="L147" s="65" t="n">
        <f aca="false">L11*Assumptions!$C$81*Assumptions!L$211</f>
        <v>1540</v>
      </c>
      <c r="M147" s="65" t="n">
        <f aca="false">M11*Assumptions!$C$81*Assumptions!M$211</f>
        <v>1527.16666666667</v>
      </c>
      <c r="N147" s="65" t="n">
        <f aca="false">N11*Assumptions!$C$81*Assumptions!N$211</f>
        <v>1514.44027777778</v>
      </c>
      <c r="O147" s="65" t="n">
        <f aca="false">O11*Assumptions!$C$81*Assumptions!O$211</f>
        <v>1514.65327546296</v>
      </c>
      <c r="P147" s="65" t="n">
        <f aca="false">P11*Assumptions!$C$81*Assumptions!P$211</f>
        <v>1514.75755372299</v>
      </c>
      <c r="Q147" s="65" t="n">
        <f aca="false">Q11*Assumptions!$C$81*Assumptions!Q$211</f>
        <v>1778.1237825007</v>
      </c>
      <c r="R147" s="65" t="n">
        <f aca="false">R11*Assumptions!$C$81*Assumptions!R$211</f>
        <v>1776.24374770778</v>
      </c>
      <c r="S147" s="65" t="n">
        <f aca="false">S11*Assumptions!$C$81*Assumptions!S$211</f>
        <v>1774.3802705816</v>
      </c>
      <c r="T147" s="65" t="n">
        <f aca="false">T11*Assumptions!$C$81*Assumptions!T$211</f>
        <v>1774.41146651426</v>
      </c>
      <c r="U147" s="65" t="n">
        <f aca="false">U11*Assumptions!$C$81*Assumptions!U$211</f>
        <v>1774.4267355242</v>
      </c>
      <c r="V147" s="65" t="n">
        <f aca="false">V11*Assumptions!$C$81*Assumptions!V$211</f>
        <v>1887.17634831635</v>
      </c>
      <c r="W147" s="65" t="n">
        <f aca="false">W11*Assumptions!$C$81*Assumptions!W$211</f>
        <v>1886.236640968</v>
      </c>
      <c r="X147" s="65" t="n">
        <f aca="false">X11*Assumptions!$C$81*Assumptions!X$211</f>
        <v>1885.30489175596</v>
      </c>
      <c r="Y147" s="65" t="n">
        <f aca="false">Y11*Assumptions!$C$81*Assumptions!Y$211</f>
        <v>1885.3204872273</v>
      </c>
      <c r="Z147" s="65" t="n">
        <f aca="false">Z11*Assumptions!$C$81*Assumptions!Z$211</f>
        <v>1885.32812184181</v>
      </c>
      <c r="AA147" s="65" t="n">
        <f aca="false">AA11*Assumptions!$C$81*Assumptions!AA$211</f>
        <v>1885.32792825776</v>
      </c>
      <c r="AB147" s="65" t="n">
        <f aca="false">AB11*Assumptions!$C$81*Assumptions!AB$211</f>
        <v>1885.32786624917</v>
      </c>
    </row>
    <row r="148" customFormat="false" ht="15" hidden="false" customHeight="false" outlineLevel="0" collapsed="false">
      <c r="A148" s="28" t="s">
        <v>1236</v>
      </c>
      <c r="B148" s="62" t="s">
        <v>1233</v>
      </c>
      <c r="C148" s="64" t="n">
        <f aca="false">SUM(E148:P148)</f>
        <v>3940.93238006366</v>
      </c>
      <c r="D148" s="64" t="n">
        <f aca="false">SUM(Q148:AB148)</f>
        <v>3992.45918546834</v>
      </c>
      <c r="E148" s="65" t="n">
        <f aca="false">E12*Assumptions!$C$81*Assumptions!E$211</f>
        <v>330</v>
      </c>
      <c r="F148" s="65" t="n">
        <f aca="false">F12*Assumptions!$C$81*Assumptions!F$211</f>
        <v>330</v>
      </c>
      <c r="G148" s="65" t="n">
        <f aca="false">G12*Assumptions!$C$81*Assumptions!G$211</f>
        <v>330</v>
      </c>
      <c r="H148" s="65" t="n">
        <f aca="false">H12*Assumptions!$C$81*Assumptions!H$211</f>
        <v>330</v>
      </c>
      <c r="I148" s="65" t="n">
        <f aca="false">I12*Assumptions!$C$81*Assumptions!I$211</f>
        <v>330</v>
      </c>
      <c r="J148" s="65" t="n">
        <f aca="false">J12*Assumptions!$C$81*Assumptions!J$211</f>
        <v>330</v>
      </c>
      <c r="K148" s="65" t="n">
        <f aca="false">K12*Assumptions!$C$81*Assumptions!K$211</f>
        <v>330</v>
      </c>
      <c r="L148" s="65" t="n">
        <f aca="false">L12*Assumptions!$C$81*Assumptions!L$211</f>
        <v>330</v>
      </c>
      <c r="M148" s="65" t="n">
        <f aca="false">M12*Assumptions!$C$81*Assumptions!M$211</f>
        <v>327.25</v>
      </c>
      <c r="N148" s="65" t="n">
        <f aca="false">N12*Assumptions!$C$81*Assumptions!N$211</f>
        <v>324.522916666667</v>
      </c>
      <c r="O148" s="65" t="n">
        <f aca="false">O12*Assumptions!$C$81*Assumptions!O$211</f>
        <v>324.568559027778</v>
      </c>
      <c r="P148" s="65" t="n">
        <f aca="false">P12*Assumptions!$C$81*Assumptions!P$211</f>
        <v>324.590904369213</v>
      </c>
      <c r="Q148" s="65" t="n">
        <f aca="false">Q12*Assumptions!$C$81*Assumptions!Q$211</f>
        <v>332.705096250151</v>
      </c>
      <c r="R148" s="65" t="n">
        <f aca="false">R12*Assumptions!$C$81*Assumptions!R$211</f>
        <v>332.704910223095</v>
      </c>
      <c r="S148" s="65" t="n">
        <f aca="false">S12*Assumptions!$C$81*Assumptions!S$211</f>
        <v>332.704916612723</v>
      </c>
      <c r="T148" s="65" t="n">
        <f aca="false">T12*Assumptions!$C$81*Assumptions!T$211</f>
        <v>332.704918109702</v>
      </c>
      <c r="U148" s="65" t="n">
        <f aca="false">U12*Assumptions!$C$81*Assumptions!U$211</f>
        <v>332.70491804398</v>
      </c>
      <c r="V148" s="65" t="n">
        <f aca="false">V12*Assumptions!$C$81*Assumptions!V$211</f>
        <v>332.704918032053</v>
      </c>
      <c r="W148" s="65" t="n">
        <f aca="false">W12*Assumptions!$C$81*Assumptions!W$211</f>
        <v>332.7049180327</v>
      </c>
      <c r="X148" s="65" t="n">
        <f aca="false">X12*Assumptions!$C$81*Assumptions!X$211</f>
        <v>332.704918032794</v>
      </c>
      <c r="Y148" s="65" t="n">
        <f aca="false">Y12*Assumptions!$C$81*Assumptions!Y$211</f>
        <v>332.704918032788</v>
      </c>
      <c r="Z148" s="65" t="n">
        <f aca="false">Z12*Assumptions!$C$81*Assumptions!Z$211</f>
        <v>332.704918032787</v>
      </c>
      <c r="AA148" s="65" t="n">
        <f aca="false">AA12*Assumptions!$C$81*Assumptions!AA$211</f>
        <v>332.704918032787</v>
      </c>
      <c r="AB148" s="65" t="n">
        <f aca="false">AB12*Assumptions!$C$81*Assumptions!AB$211</f>
        <v>332.704918032787</v>
      </c>
    </row>
    <row r="149" customFormat="false" ht="15" hidden="false" customHeight="false" outlineLevel="0" collapsed="false">
      <c r="A149" s="28" t="s">
        <v>1237</v>
      </c>
      <c r="B149" s="62" t="s">
        <v>1233</v>
      </c>
      <c r="C149" s="64" t="n">
        <f aca="false">SUM(E149:P149)</f>
        <v>7881.86476012732</v>
      </c>
      <c r="D149" s="64" t="n">
        <f aca="false">SUM(Q149:AB149)</f>
        <v>7984.91837093669</v>
      </c>
      <c r="E149" s="65" t="n">
        <f aca="false">E13*Assumptions!$C$81*Assumptions!E$211</f>
        <v>660</v>
      </c>
      <c r="F149" s="65" t="n">
        <f aca="false">F13*Assumptions!$C$81*Assumptions!F$211</f>
        <v>660</v>
      </c>
      <c r="G149" s="65" t="n">
        <f aca="false">G13*Assumptions!$C$81*Assumptions!G$211</f>
        <v>660</v>
      </c>
      <c r="H149" s="65" t="n">
        <f aca="false">H13*Assumptions!$C$81*Assumptions!H$211</f>
        <v>660</v>
      </c>
      <c r="I149" s="65" t="n">
        <f aca="false">I13*Assumptions!$C$81*Assumptions!I$211</f>
        <v>660</v>
      </c>
      <c r="J149" s="65" t="n">
        <f aca="false">J13*Assumptions!$C$81*Assumptions!J$211</f>
        <v>660</v>
      </c>
      <c r="K149" s="65" t="n">
        <f aca="false">K13*Assumptions!$C$81*Assumptions!K$211</f>
        <v>660</v>
      </c>
      <c r="L149" s="65" t="n">
        <f aca="false">L13*Assumptions!$C$81*Assumptions!L$211</f>
        <v>660</v>
      </c>
      <c r="M149" s="65" t="n">
        <f aca="false">M13*Assumptions!$C$81*Assumptions!M$211</f>
        <v>654.5</v>
      </c>
      <c r="N149" s="65" t="n">
        <f aca="false">N13*Assumptions!$C$81*Assumptions!N$211</f>
        <v>649.045833333333</v>
      </c>
      <c r="O149" s="65" t="n">
        <f aca="false">O13*Assumptions!$C$81*Assumptions!O$211</f>
        <v>649.137118055556</v>
      </c>
      <c r="P149" s="65" t="n">
        <f aca="false">P13*Assumptions!$C$81*Assumptions!P$211</f>
        <v>649.181808738426</v>
      </c>
      <c r="Q149" s="65" t="n">
        <f aca="false">Q13*Assumptions!$C$81*Assumptions!Q$211</f>
        <v>665.410192500301</v>
      </c>
      <c r="R149" s="65" t="n">
        <f aca="false">R13*Assumptions!$C$81*Assumptions!R$211</f>
        <v>665.40982044619</v>
      </c>
      <c r="S149" s="65" t="n">
        <f aca="false">S13*Assumptions!$C$81*Assumptions!S$211</f>
        <v>665.409833225446</v>
      </c>
      <c r="T149" s="65" t="n">
        <f aca="false">T13*Assumptions!$C$81*Assumptions!T$211</f>
        <v>665.409836219403</v>
      </c>
      <c r="U149" s="65" t="n">
        <f aca="false">U13*Assumptions!$C$81*Assumptions!U$211</f>
        <v>665.40983608796</v>
      </c>
      <c r="V149" s="65" t="n">
        <f aca="false">V13*Assumptions!$C$81*Assumptions!V$211</f>
        <v>665.409836064105</v>
      </c>
      <c r="W149" s="65" t="n">
        <f aca="false">W13*Assumptions!$C$81*Assumptions!W$211</f>
        <v>665.409836065399</v>
      </c>
      <c r="X149" s="65" t="n">
        <f aca="false">X13*Assumptions!$C$81*Assumptions!X$211</f>
        <v>665.409836065588</v>
      </c>
      <c r="Y149" s="65" t="n">
        <f aca="false">Y13*Assumptions!$C$81*Assumptions!Y$211</f>
        <v>665.409836065575</v>
      </c>
      <c r="Z149" s="65" t="n">
        <f aca="false">Z13*Assumptions!$C$81*Assumptions!Z$211</f>
        <v>665.409836065574</v>
      </c>
      <c r="AA149" s="65" t="n">
        <f aca="false">AA13*Assumptions!$C$81*Assumptions!AA$211</f>
        <v>665.409836065574</v>
      </c>
      <c r="AB149" s="65" t="n">
        <f aca="false">AB13*Assumptions!$C$81*Assumptions!AB$211</f>
        <v>665.409836065574</v>
      </c>
    </row>
    <row r="150" customFormat="false" ht="15" hidden="false" customHeight="false" outlineLevel="0" collapsed="false">
      <c r="A150" s="28" t="s">
        <v>1238</v>
      </c>
      <c r="B150" s="62" t="s">
        <v>1233</v>
      </c>
      <c r="C150" s="64" t="n">
        <f aca="false">SUM(E150:P150)</f>
        <v>9279.47218676758</v>
      </c>
      <c r="D150" s="64" t="n">
        <f aca="false">SUM(Q150:AB150)</f>
        <v>11554.0105207358</v>
      </c>
      <c r="E150" s="65" t="n">
        <f aca="false">E14*Assumptions!$C$81*Assumptions!E$211</f>
        <v>660</v>
      </c>
      <c r="F150" s="65" t="n">
        <f aca="false">F14*Assumptions!$C$81*Assumptions!F$211</f>
        <v>660</v>
      </c>
      <c r="G150" s="65" t="n">
        <f aca="false">G14*Assumptions!$C$81*Assumptions!G$211</f>
        <v>770</v>
      </c>
      <c r="H150" s="65" t="n">
        <f aca="false">H14*Assumptions!$C$81*Assumptions!H$211</f>
        <v>770</v>
      </c>
      <c r="I150" s="65" t="n">
        <f aca="false">I14*Assumptions!$C$81*Assumptions!I$211</f>
        <v>770</v>
      </c>
      <c r="J150" s="65" t="n">
        <f aca="false">J14*Assumptions!$C$81*Assumptions!J$211</f>
        <v>770</v>
      </c>
      <c r="K150" s="65" t="n">
        <f aca="false">K14*Assumptions!$C$81*Assumptions!K$211</f>
        <v>770</v>
      </c>
      <c r="L150" s="65" t="n">
        <f aca="false">L14*Assumptions!$C$81*Assumptions!L$211</f>
        <v>770</v>
      </c>
      <c r="M150" s="65" t="n">
        <f aca="false">M14*Assumptions!$C$81*Assumptions!M$211</f>
        <v>760.375</v>
      </c>
      <c r="N150" s="65" t="n">
        <f aca="false">N14*Assumptions!$C$81*Assumptions!N$211</f>
        <v>860.8703125</v>
      </c>
      <c r="O150" s="65" t="n">
        <f aca="false">O14*Assumptions!$C$81*Assumptions!O$211</f>
        <v>859.73443359375</v>
      </c>
      <c r="P150" s="65" t="n">
        <f aca="false">P14*Assumptions!$C$81*Assumptions!P$211</f>
        <v>858.492440673828</v>
      </c>
      <c r="Q150" s="65" t="n">
        <f aca="false">Q14*Assumptions!$C$81*Assumptions!Q$211</f>
        <v>879.985218173447</v>
      </c>
      <c r="R150" s="65" t="n">
        <f aca="false">R14*Assumptions!$C$81*Assumptions!R$211</f>
        <v>880.000750376698</v>
      </c>
      <c r="S150" s="65" t="n">
        <f aca="false">S14*Assumptions!$C$81*Assumptions!S$211</f>
        <v>880.000175393123</v>
      </c>
      <c r="T150" s="65" t="n">
        <f aca="false">T14*Assumptions!$C$81*Assumptions!T$211</f>
        <v>992.749988427877</v>
      </c>
      <c r="U150" s="65" t="n">
        <f aca="false">U14*Assumptions!$C$81*Assumptions!U$211</f>
        <v>991.340622952237</v>
      </c>
      <c r="V150" s="65" t="n">
        <f aca="false">V14*Assumptions!$C$81*Assumptions!V$211</f>
        <v>989.948867357748</v>
      </c>
      <c r="W150" s="65" t="n">
        <f aca="false">W14*Assumptions!$C$81*Assumptions!W$211</f>
        <v>989.983881371125</v>
      </c>
      <c r="X150" s="65" t="n">
        <f aca="false">X14*Assumptions!$C$81*Assumptions!X$211</f>
        <v>990.000840640889</v>
      </c>
      <c r="Y150" s="65" t="n">
        <f aca="false">Y14*Assumptions!$C$81*Assumptions!Y$211</f>
        <v>990.00019097485</v>
      </c>
      <c r="Z150" s="65" t="n">
        <f aca="false">Z14*Assumptions!$C$81*Assumptions!Z$211</f>
        <v>989.999987104803</v>
      </c>
      <c r="AA150" s="65" t="n">
        <f aca="false">AA14*Assumptions!$C$81*Assumptions!AA$211</f>
        <v>989.999997774004</v>
      </c>
      <c r="AB150" s="65" t="n">
        <f aca="false">AB14*Assumptions!$C$81*Assumptions!AB$211</f>
        <v>990.000000189015</v>
      </c>
    </row>
    <row r="151" customFormat="false" ht="15" hidden="false" customHeight="false" outlineLevel="0" collapsed="false">
      <c r="A151" s="28" t="s">
        <v>1239</v>
      </c>
      <c r="B151" s="62" t="s">
        <v>1233</v>
      </c>
      <c r="C151" s="64" t="n">
        <f aca="false">SUM(E151:P151)</f>
        <v>6112.55714233398</v>
      </c>
      <c r="D151" s="64" t="n">
        <f aca="false">SUM(Q151:AB151)</f>
        <v>7924.02527057104</v>
      </c>
      <c r="E151" s="65" t="n">
        <f aca="false">E15*Assumptions!$C$81*Assumptions!E$211</f>
        <v>440</v>
      </c>
      <c r="F151" s="65" t="n">
        <f aca="false">F15*Assumptions!$C$81*Assumptions!F$211</f>
        <v>440</v>
      </c>
      <c r="G151" s="65" t="n">
        <f aca="false">G15*Assumptions!$C$81*Assumptions!G$211</f>
        <v>440</v>
      </c>
      <c r="H151" s="65" t="n">
        <f aca="false">H15*Assumptions!$C$81*Assumptions!H$211</f>
        <v>440</v>
      </c>
      <c r="I151" s="65" t="n">
        <f aca="false">I15*Assumptions!$C$81*Assumptions!I$211</f>
        <v>550</v>
      </c>
      <c r="J151" s="65" t="n">
        <f aca="false">J15*Assumptions!$C$81*Assumptions!J$211</f>
        <v>550</v>
      </c>
      <c r="K151" s="65" t="n">
        <f aca="false">K15*Assumptions!$C$81*Assumptions!K$211</f>
        <v>550</v>
      </c>
      <c r="L151" s="65" t="n">
        <f aca="false">L15*Assumptions!$C$81*Assumptions!L$211</f>
        <v>550</v>
      </c>
      <c r="M151" s="65" t="n">
        <f aca="false">M15*Assumptions!$C$81*Assumptions!M$211</f>
        <v>543.125</v>
      </c>
      <c r="N151" s="65" t="n">
        <f aca="false">N15*Assumptions!$C$81*Assumptions!N$211</f>
        <v>536.3359375</v>
      </c>
      <c r="O151" s="65" t="n">
        <f aca="false">O15*Assumptions!$C$81*Assumptions!O$211</f>
        <v>536.50673828125</v>
      </c>
      <c r="P151" s="65" t="n">
        <f aca="false">P15*Assumptions!$C$81*Assumptions!P$211</f>
        <v>536.589466552734</v>
      </c>
      <c r="Q151" s="65" t="n">
        <f aca="false">Q15*Assumptions!$C$81*Assumptions!Q$211</f>
        <v>662.750954875565</v>
      </c>
      <c r="R151" s="65" t="n">
        <f aca="false">R15*Assumptions!$C$81*Assumptions!R$211</f>
        <v>661.340560523849</v>
      </c>
      <c r="S151" s="65" t="n">
        <f aca="false">S15*Assumptions!$C$81*Assumptions!S$211</f>
        <v>659.948856057507</v>
      </c>
      <c r="T151" s="65" t="n">
        <f aca="false">T15*Assumptions!$C$81*Assumptions!T$211</f>
        <v>659.983882292733</v>
      </c>
      <c r="U151" s="65" t="n">
        <f aca="false">U15*Assumptions!$C$81*Assumptions!U$211</f>
        <v>660.000840770622</v>
      </c>
      <c r="V151" s="65" t="n">
        <f aca="false">V15*Assumptions!$C$81*Assumptions!V$211</f>
        <v>660.000190961708</v>
      </c>
      <c r="W151" s="65" t="n">
        <f aca="false">W15*Assumptions!$C$81*Assumptions!W$211</f>
        <v>659.999987103346</v>
      </c>
      <c r="X151" s="65" t="n">
        <f aca="false">X15*Assumptions!$C$81*Assumptions!X$211</f>
        <v>659.999997774187</v>
      </c>
      <c r="Y151" s="65" t="n">
        <f aca="false">Y15*Assumptions!$C$81*Assumptions!Y$211</f>
        <v>660.000000189031</v>
      </c>
      <c r="Z151" s="65" t="n">
        <f aca="false">Z15*Assumptions!$C$81*Assumptions!Z$211</f>
        <v>660.00000002546</v>
      </c>
      <c r="AA151" s="65" t="n">
        <f aca="false">AA15*Assumptions!$C$81*Assumptions!AA$211</f>
        <v>659.999999997319</v>
      </c>
      <c r="AB151" s="65" t="n">
        <f aca="false">AB15*Assumptions!$C$81*Assumptions!AB$211</f>
        <v>659.999999999715</v>
      </c>
    </row>
    <row r="152" customFormat="false" ht="15" hidden="false" customHeight="false" outlineLevel="0" collapsed="false">
      <c r="A152" s="28" t="s">
        <v>1240</v>
      </c>
      <c r="B152" s="62" t="s">
        <v>1233</v>
      </c>
      <c r="C152" s="64" t="n">
        <f aca="false">SUM(E152:P152)</f>
        <v>1307.40857330247</v>
      </c>
      <c r="D152" s="64" t="n">
        <f aca="false">SUM(Q152:AB152)</f>
        <v>1309.35522381138</v>
      </c>
      <c r="E152" s="65" t="n">
        <f aca="false">E16*Assumptions!$C$81*Assumptions!E$211</f>
        <v>110</v>
      </c>
      <c r="F152" s="65" t="n">
        <f aca="false">F16*Assumptions!$C$81*Assumptions!F$211</f>
        <v>110</v>
      </c>
      <c r="G152" s="65" t="n">
        <f aca="false">G16*Assumptions!$C$81*Assumptions!G$211</f>
        <v>110</v>
      </c>
      <c r="H152" s="65" t="n">
        <f aca="false">H16*Assumptions!$C$81*Assumptions!H$211</f>
        <v>110</v>
      </c>
      <c r="I152" s="65" t="n">
        <f aca="false">I16*Assumptions!$C$81*Assumptions!I$211</f>
        <v>110</v>
      </c>
      <c r="J152" s="65" t="n">
        <f aca="false">J16*Assumptions!$C$81*Assumptions!J$211</f>
        <v>110</v>
      </c>
      <c r="K152" s="65" t="n">
        <f aca="false">K16*Assumptions!$C$81*Assumptions!K$211</f>
        <v>110</v>
      </c>
      <c r="L152" s="65" t="n">
        <f aca="false">L16*Assumptions!$C$81*Assumptions!L$211</f>
        <v>110</v>
      </c>
      <c r="M152" s="65" t="n">
        <f aca="false">M16*Assumptions!$C$81*Assumptions!M$211</f>
        <v>108.166666666667</v>
      </c>
      <c r="N152" s="65" t="n">
        <f aca="false">N16*Assumptions!$C$81*Assumptions!N$211</f>
        <v>106.363888888889</v>
      </c>
      <c r="O152" s="65" t="n">
        <f aca="false">O16*Assumptions!$C$81*Assumptions!O$211</f>
        <v>106.424490740741</v>
      </c>
      <c r="P152" s="65" t="n">
        <f aca="false">P16*Assumptions!$C$81*Assumptions!P$211</f>
        <v>106.453527006173</v>
      </c>
      <c r="Q152" s="65" t="n">
        <f aca="false">Q16*Assumptions!$C$81*Assumptions!Q$211</f>
        <v>109.11333386349</v>
      </c>
      <c r="R152" s="65" t="n">
        <f aca="false">R16*Assumptions!$C$81*Assumptions!R$211</f>
        <v>109.112863349253</v>
      </c>
      <c r="S152" s="65" t="n">
        <f aca="false">S16*Assumptions!$C$81*Assumptions!S$211</f>
        <v>109.112896713121</v>
      </c>
      <c r="T152" s="65" t="n">
        <f aca="false">T16*Assumptions!$C$81*Assumptions!T$211</f>
        <v>109.11290399896</v>
      </c>
      <c r="U152" s="65" t="n">
        <f aca="false">U16*Assumptions!$C$81*Assumptions!U$211</f>
        <v>109.112903321465</v>
      </c>
      <c r="V152" s="65" t="n">
        <f aca="false">V16*Assumptions!$C$81*Assumptions!V$211</f>
        <v>109.112903211326</v>
      </c>
      <c r="W152" s="65" t="n">
        <f aca="false">W16*Assumptions!$C$81*Assumptions!W$211</f>
        <v>109.112903224453</v>
      </c>
      <c r="X152" s="65" t="n">
        <f aca="false">X16*Assumptions!$C$81*Assumptions!X$211</f>
        <v>109.11290322607</v>
      </c>
      <c r="Y152" s="65" t="n">
        <f aca="false">Y16*Assumptions!$C$81*Assumptions!Y$211</f>
        <v>109.112903225825</v>
      </c>
      <c r="Z152" s="65" t="n">
        <f aca="false">Z16*Assumptions!$C$81*Assumptions!Z$211</f>
        <v>109.112903225802</v>
      </c>
      <c r="AA152" s="65" t="n">
        <f aca="false">AA16*Assumptions!$C$81*Assumptions!AA$211</f>
        <v>109.112903225806</v>
      </c>
      <c r="AB152" s="65" t="n">
        <f aca="false">AB16*Assumptions!$C$81*Assumptions!AB$211</f>
        <v>109.112903225807</v>
      </c>
    </row>
    <row r="153" customFormat="false" ht="15" hidden="false" customHeight="false" outlineLevel="0" collapsed="false">
      <c r="A153" s="28" t="s">
        <v>1241</v>
      </c>
      <c r="B153" s="62" t="s">
        <v>1233</v>
      </c>
      <c r="C153" s="64" t="n">
        <f aca="false">SUM(E153:P153)</f>
        <v>7952.61810648148</v>
      </c>
      <c r="D153" s="64" t="n">
        <f aca="false">SUM(Q153:AB153)</f>
        <v>10480.005306621</v>
      </c>
      <c r="E153" s="65" t="n">
        <f aca="false">E17*Assumptions!$C$81*Assumptions!E$211</f>
        <v>550</v>
      </c>
      <c r="F153" s="65" t="n">
        <f aca="false">F17*Assumptions!$C$81*Assumptions!F$211</f>
        <v>660</v>
      </c>
      <c r="G153" s="65" t="n">
        <f aca="false">G17*Assumptions!$C$81*Assumptions!G$211</f>
        <v>660</v>
      </c>
      <c r="H153" s="65" t="n">
        <f aca="false">H17*Assumptions!$C$81*Assumptions!H$211</f>
        <v>660</v>
      </c>
      <c r="I153" s="65" t="n">
        <f aca="false">I17*Assumptions!$C$81*Assumptions!I$211</f>
        <v>660</v>
      </c>
      <c r="J153" s="65" t="n">
        <f aca="false">J17*Assumptions!$C$81*Assumptions!J$211</f>
        <v>660</v>
      </c>
      <c r="K153" s="65" t="n">
        <f aca="false">K17*Assumptions!$C$81*Assumptions!K$211</f>
        <v>660</v>
      </c>
      <c r="L153" s="65" t="n">
        <f aca="false">L17*Assumptions!$C$81*Assumptions!L$211</f>
        <v>660</v>
      </c>
      <c r="M153" s="65" t="n">
        <f aca="false">M17*Assumptions!$C$81*Assumptions!M$211</f>
        <v>649</v>
      </c>
      <c r="N153" s="65" t="n">
        <f aca="false">N17*Assumptions!$C$81*Assumptions!N$211</f>
        <v>638.183333333333</v>
      </c>
      <c r="O153" s="65" t="n">
        <f aca="false">O17*Assumptions!$C$81*Assumptions!O$211</f>
        <v>748.546944444444</v>
      </c>
      <c r="P153" s="65" t="n">
        <f aca="false">P17*Assumptions!$C$81*Assumptions!P$211</f>
        <v>746.887828703704</v>
      </c>
      <c r="Q153" s="65" t="n">
        <f aca="false">Q17*Assumptions!$C$81*Assumptions!Q$211</f>
        <v>876.452989292052</v>
      </c>
      <c r="R153" s="65" t="n">
        <f aca="false">R17*Assumptions!$C$81*Assumptions!R$211</f>
        <v>874.633116438111</v>
      </c>
      <c r="S153" s="65" t="n">
        <f aca="false">S17*Assumptions!$C$81*Assumptions!S$211</f>
        <v>872.815231571164</v>
      </c>
      <c r="T153" s="65" t="n">
        <f aca="false">T17*Assumptions!$C$81*Assumptions!T$211</f>
        <v>872.875860866512</v>
      </c>
      <c r="U153" s="65" t="n">
        <f aca="false">U17*Assumptions!$C$81*Assumptions!U$211</f>
        <v>872.905148459372</v>
      </c>
      <c r="V153" s="65" t="n">
        <f aca="false">V17*Assumptions!$C$81*Assumptions!V$211</f>
        <v>872.903649844568</v>
      </c>
      <c r="W153" s="65" t="n">
        <f aca="false">W17*Assumptions!$C$81*Assumptions!W$211</f>
        <v>872.903186694934</v>
      </c>
      <c r="X153" s="65" t="n">
        <f aca="false">X17*Assumptions!$C$81*Assumptions!X$211</f>
        <v>872.903219391008</v>
      </c>
      <c r="Y153" s="65" t="n">
        <f aca="false">Y17*Assumptions!$C$81*Assumptions!Y$211</f>
        <v>872.903226565234</v>
      </c>
      <c r="Z153" s="65" t="n">
        <f aca="false">Z17*Assumptions!$C$81*Assumptions!Z$211</f>
        <v>872.903225900729</v>
      </c>
      <c r="AA153" s="65" t="n">
        <f aca="false">AA17*Assumptions!$C$81*Assumptions!AA$211</f>
        <v>872.903225792234</v>
      </c>
      <c r="AB153" s="65" t="n">
        <f aca="false">AB17*Assumptions!$C$81*Assumptions!AB$211</f>
        <v>872.903225805117</v>
      </c>
    </row>
    <row r="154" customFormat="false" ht="15" hidden="false" customHeight="false" outlineLevel="0" collapsed="false">
      <c r="A154" s="28" t="s">
        <v>1242</v>
      </c>
      <c r="B154" s="62" t="s">
        <v>1233</v>
      </c>
      <c r="C154" s="64" t="n">
        <f aca="false">SUM(E154:P154)</f>
        <v>4582.22571990741</v>
      </c>
      <c r="D154" s="64" t="n">
        <f aca="false">SUM(Q154:AB154)</f>
        <v>4915.36145699399</v>
      </c>
      <c r="E154" s="65" t="n">
        <f aca="false">E18*Assumptions!$C$81*Assumptions!E$211</f>
        <v>440</v>
      </c>
      <c r="F154" s="65" t="n">
        <f aca="false">F18*Assumptions!$C$81*Assumptions!F$211</f>
        <v>440</v>
      </c>
      <c r="G154" s="65" t="n">
        <f aca="false">G18*Assumptions!$C$81*Assumptions!G$211</f>
        <v>440</v>
      </c>
      <c r="H154" s="65" t="n">
        <f aca="false">H18*Assumptions!$C$81*Assumptions!H$211</f>
        <v>440</v>
      </c>
      <c r="I154" s="65" t="n">
        <f aca="false">I18*Assumptions!$C$81*Assumptions!I$211</f>
        <v>440</v>
      </c>
      <c r="J154" s="65" t="n">
        <f aca="false">J18*Assumptions!$C$81*Assumptions!J$211</f>
        <v>440</v>
      </c>
      <c r="K154" s="65" t="n">
        <f aca="false">K18*Assumptions!$C$81*Assumptions!K$211</f>
        <v>330</v>
      </c>
      <c r="L154" s="65" t="n">
        <f aca="false">L18*Assumptions!$C$81*Assumptions!L$211</f>
        <v>330</v>
      </c>
      <c r="M154" s="65" t="n">
        <f aca="false">M18*Assumptions!$C$81*Assumptions!M$211</f>
        <v>324.5</v>
      </c>
      <c r="N154" s="65" t="n">
        <f aca="false">N18*Assumptions!$C$81*Assumptions!N$211</f>
        <v>319.091666666667</v>
      </c>
      <c r="O154" s="65" t="n">
        <f aca="false">O18*Assumptions!$C$81*Assumptions!O$211</f>
        <v>319.273472222222</v>
      </c>
      <c r="P154" s="65" t="n">
        <f aca="false">P18*Assumptions!$C$81*Assumptions!P$211</f>
        <v>319.360581018519</v>
      </c>
      <c r="Q154" s="65" t="n">
        <f aca="false">Q18*Assumptions!$C$81*Assumptions!Q$211</f>
        <v>327.340001590471</v>
      </c>
      <c r="R154" s="65" t="n">
        <f aca="false">R18*Assumptions!$C$81*Assumptions!R$211</f>
        <v>327.338590047759</v>
      </c>
      <c r="S154" s="65" t="n">
        <f aca="false">S18*Assumptions!$C$81*Assumptions!S$211</f>
        <v>327.338690139363</v>
      </c>
      <c r="T154" s="65" t="n">
        <f aca="false">T18*Assumptions!$C$81*Assumptions!T$211</f>
        <v>440.088711996881</v>
      </c>
      <c r="U154" s="65" t="n">
        <f aca="false">U18*Assumptions!$C$81*Assumptions!U$211</f>
        <v>438.209543297729</v>
      </c>
      <c r="V154" s="65" t="n">
        <f aca="false">V18*Assumptions!$C$81*Assumptions!V$211</f>
        <v>436.36169574509</v>
      </c>
      <c r="W154" s="65" t="n">
        <f aca="false">W18*Assumptions!$C$81*Assumptions!W$211</f>
        <v>436.42381268262</v>
      </c>
      <c r="X154" s="65" t="n">
        <f aca="false">X18*Assumptions!$C$81*Assumptions!X$211</f>
        <v>436.453574859538</v>
      </c>
      <c r="Y154" s="65" t="n">
        <f aca="false">Y18*Assumptions!$C$81*Assumptions!Y$211</f>
        <v>436.452043540964</v>
      </c>
      <c r="Z154" s="65" t="n">
        <f aca="false">Z18*Assumptions!$C$81*Assumptions!Z$211</f>
        <v>436.451573026658</v>
      </c>
      <c r="AA154" s="65" t="n">
        <f aca="false">AA18*Assumptions!$C$81*Assumptions!AA$211</f>
        <v>436.45160639054</v>
      </c>
      <c r="AB154" s="65" t="n">
        <f aca="false">AB18*Assumptions!$C$81*Assumptions!AB$211</f>
        <v>436.45161367638</v>
      </c>
    </row>
    <row r="155" customFormat="false" ht="15" hidden="false" customHeight="false" outlineLevel="0" collapsed="false">
      <c r="A155" s="28" t="s">
        <v>1243</v>
      </c>
      <c r="B155" s="62" t="s">
        <v>1233</v>
      </c>
      <c r="C155" s="64" t="n">
        <f aca="false">SUM(E155:P155)</f>
        <v>6207.04286651235</v>
      </c>
      <c r="D155" s="64" t="n">
        <f aca="false">SUM(Q155:AB155)</f>
        <v>7752.29771114954</v>
      </c>
      <c r="E155" s="65" t="n">
        <f aca="false">E19*Assumptions!$C$81*Assumptions!E$211</f>
        <v>440</v>
      </c>
      <c r="F155" s="65" t="n">
        <f aca="false">F19*Assumptions!$C$81*Assumptions!F$211</f>
        <v>440</v>
      </c>
      <c r="G155" s="65" t="n">
        <f aca="false">G19*Assumptions!$C$81*Assumptions!G$211</f>
        <v>440</v>
      </c>
      <c r="H155" s="65" t="n">
        <f aca="false">H19*Assumptions!$C$81*Assumptions!H$211</f>
        <v>550</v>
      </c>
      <c r="I155" s="65" t="n">
        <f aca="false">I19*Assumptions!$C$81*Assumptions!I$211</f>
        <v>550</v>
      </c>
      <c r="J155" s="65" t="n">
        <f aca="false">J19*Assumptions!$C$81*Assumptions!J$211</f>
        <v>550</v>
      </c>
      <c r="K155" s="65" t="n">
        <f aca="false">K19*Assumptions!$C$81*Assumptions!K$211</f>
        <v>550</v>
      </c>
      <c r="L155" s="65" t="n">
        <f aca="false">L19*Assumptions!$C$81*Assumptions!L$211</f>
        <v>550</v>
      </c>
      <c r="M155" s="65" t="n">
        <f aca="false">M19*Assumptions!$C$81*Assumptions!M$211</f>
        <v>540.833333333333</v>
      </c>
      <c r="N155" s="65" t="n">
        <f aca="false">N19*Assumptions!$C$81*Assumptions!N$211</f>
        <v>531.819444444445</v>
      </c>
      <c r="O155" s="65" t="n">
        <f aca="false">O19*Assumptions!$C$81*Assumptions!O$211</f>
        <v>532.122453703704</v>
      </c>
      <c r="P155" s="65" t="n">
        <f aca="false">P19*Assumptions!$C$81*Assumptions!P$211</f>
        <v>532.267635030864</v>
      </c>
      <c r="Q155" s="65" t="n">
        <f aca="false">Q19*Assumptions!$C$81*Assumptions!Q$211</f>
        <v>545.566669317451</v>
      </c>
      <c r="R155" s="65" t="n">
        <f aca="false">R19*Assumptions!$C$81*Assumptions!R$211</f>
        <v>658.314316746265</v>
      </c>
      <c r="S155" s="65" t="n">
        <f aca="false">S19*Assumptions!$C$81*Assumptions!S$211</f>
        <v>656.435316898938</v>
      </c>
      <c r="T155" s="65" t="n">
        <f aca="false">T19*Assumptions!$C$81*Assumptions!T$211</f>
        <v>654.587506105913</v>
      </c>
      <c r="U155" s="65" t="n">
        <f aca="false">U19*Assumptions!$C$81*Assumptions!U$211</f>
        <v>654.649619616586</v>
      </c>
      <c r="V155" s="65" t="n">
        <f aca="false">V19*Assumptions!$C$81*Assumptions!V$211</f>
        <v>654.679381237958</v>
      </c>
      <c r="W155" s="65" t="n">
        <f aca="false">W19*Assumptions!$C$81*Assumptions!W$211</f>
        <v>654.677849985758</v>
      </c>
      <c r="X155" s="65" t="n">
        <f aca="false">X19*Assumptions!$C$81*Assumptions!X$211</f>
        <v>654.677379479605</v>
      </c>
      <c r="Y155" s="65" t="n">
        <f aca="false">Y19*Assumptions!$C$81*Assumptions!Y$211</f>
        <v>654.677412842244</v>
      </c>
      <c r="Z155" s="65" t="n">
        <f aca="false">Z19*Assumptions!$C$81*Assumptions!Z$211</f>
        <v>654.677420127969</v>
      </c>
      <c r="AA155" s="65" t="n">
        <f aca="false">AA19*Assumptions!$C$81*Assumptions!AA$211</f>
        <v>654.677419450497</v>
      </c>
      <c r="AB155" s="65" t="n">
        <f aca="false">AB19*Assumptions!$C$81*Assumptions!AB$211</f>
        <v>654.677419340359</v>
      </c>
    </row>
    <row r="156" customFormat="false" ht="15" hidden="false" customHeight="false" outlineLevel="0" collapsed="false">
      <c r="A156" s="28" t="s">
        <v>1244</v>
      </c>
      <c r="B156" s="62" t="s">
        <v>1233</v>
      </c>
      <c r="C156" s="64" t="n">
        <f aca="false">SUM(E156:P156)</f>
        <v>2629.8112300642</v>
      </c>
      <c r="D156" s="64" t="n">
        <f aca="false">SUM(Q156:AB156)</f>
        <v>2670.39479631716</v>
      </c>
      <c r="E156" s="65" t="n">
        <f aca="false">E20*Assumptions!$C$81*Assumptions!E$211</f>
        <v>220</v>
      </c>
      <c r="F156" s="65" t="n">
        <f aca="false">F20*Assumptions!$C$81*Assumptions!F$211</f>
        <v>220</v>
      </c>
      <c r="G156" s="65" t="n">
        <f aca="false">G20*Assumptions!$C$81*Assumptions!G$211</f>
        <v>220</v>
      </c>
      <c r="H156" s="65" t="n">
        <f aca="false">H20*Assumptions!$C$81*Assumptions!H$211</f>
        <v>220</v>
      </c>
      <c r="I156" s="65" t="n">
        <f aca="false">I20*Assumptions!$C$81*Assumptions!I$211</f>
        <v>220</v>
      </c>
      <c r="J156" s="65" t="n">
        <f aca="false">J20*Assumptions!$C$81*Assumptions!J$211</f>
        <v>220</v>
      </c>
      <c r="K156" s="65" t="n">
        <f aca="false">K20*Assumptions!$C$81*Assumptions!K$211</f>
        <v>220</v>
      </c>
      <c r="L156" s="65" t="n">
        <f aca="false">L20*Assumptions!$C$81*Assumptions!L$211</f>
        <v>220</v>
      </c>
      <c r="M156" s="65" t="n">
        <f aca="false">M20*Assumptions!$C$81*Assumptions!M$211</f>
        <v>218.533333333333</v>
      </c>
      <c r="N156" s="65" t="n">
        <f aca="false">N20*Assumptions!$C$81*Assumptions!N$211</f>
        <v>217.076444444444</v>
      </c>
      <c r="O156" s="65" t="n">
        <f aca="false">O20*Assumptions!$C$81*Assumptions!O$211</f>
        <v>217.095934814815</v>
      </c>
      <c r="P156" s="65" t="n">
        <f aca="false">P20*Assumptions!$C$81*Assumptions!P$211</f>
        <v>217.105517471605</v>
      </c>
      <c r="Q156" s="65" t="n">
        <f aca="false">Q20*Assumptions!$C$81*Assumptions!Q$211</f>
        <v>222.532956742709</v>
      </c>
      <c r="R156" s="65" t="n">
        <f aca="false">R20*Assumptions!$C$81*Assumptions!R$211</f>
        <v>222.532892585659</v>
      </c>
      <c r="S156" s="65" t="n">
        <f aca="false">S20*Assumptions!$C$81*Assumptions!S$211</f>
        <v>222.532894337811</v>
      </c>
      <c r="T156" s="65" t="n">
        <f aca="false">T20*Assumptions!$C$81*Assumptions!T$211</f>
        <v>222.532894753844</v>
      </c>
      <c r="U156" s="65" t="n">
        <f aca="false">U20*Assumptions!$C$81*Assumptions!U$211</f>
        <v>222.532894739389</v>
      </c>
      <c r="V156" s="65" t="n">
        <f aca="false">V20*Assumptions!$C$81*Assumptions!V$211</f>
        <v>222.532894736712</v>
      </c>
      <c r="W156" s="65" t="n">
        <f aca="false">W20*Assumptions!$C$81*Assumptions!W$211</f>
        <v>222.532894736826</v>
      </c>
      <c r="X156" s="65" t="n">
        <f aca="false">X20*Assumptions!$C$81*Assumptions!X$211</f>
        <v>222.532894736843</v>
      </c>
      <c r="Y156" s="65" t="n">
        <f aca="false">Y20*Assumptions!$C$81*Assumptions!Y$211</f>
        <v>222.532894736842</v>
      </c>
      <c r="Z156" s="65" t="n">
        <f aca="false">Z20*Assumptions!$C$81*Assumptions!Z$211</f>
        <v>222.532894736842</v>
      </c>
      <c r="AA156" s="65" t="n">
        <f aca="false">AA20*Assumptions!$C$81*Assumptions!AA$211</f>
        <v>222.532894736842</v>
      </c>
      <c r="AB156" s="65" t="n">
        <f aca="false">AB20*Assumptions!$C$81*Assumptions!AB$211</f>
        <v>222.532894736842</v>
      </c>
    </row>
    <row r="157" customFormat="false" ht="15" hidden="false" customHeight="false" outlineLevel="0" collapsed="false">
      <c r="A157" s="28" t="s">
        <v>1245</v>
      </c>
      <c r="B157" s="62" t="s">
        <v>1233</v>
      </c>
      <c r="C157" s="64" t="n">
        <f aca="false">SUM(E157:P157)</f>
        <v>7669.43369019259</v>
      </c>
      <c r="D157" s="64" t="n">
        <f aca="false">SUM(Q157:AB157)</f>
        <v>8680.97912273074</v>
      </c>
      <c r="E157" s="65" t="n">
        <f aca="false">E21*Assumptions!$C$81*Assumptions!E$211</f>
        <v>550</v>
      </c>
      <c r="F157" s="65" t="n">
        <f aca="false">F21*Assumptions!$C$81*Assumptions!F$211</f>
        <v>550</v>
      </c>
      <c r="G157" s="65" t="n">
        <f aca="false">G21*Assumptions!$C$81*Assumptions!G$211</f>
        <v>660</v>
      </c>
      <c r="H157" s="65" t="n">
        <f aca="false">H21*Assumptions!$C$81*Assumptions!H$211</f>
        <v>660</v>
      </c>
      <c r="I157" s="65" t="n">
        <f aca="false">I21*Assumptions!$C$81*Assumptions!I$211</f>
        <v>660</v>
      </c>
      <c r="J157" s="65" t="n">
        <f aca="false">J21*Assumptions!$C$81*Assumptions!J$211</f>
        <v>660</v>
      </c>
      <c r="K157" s="65" t="n">
        <f aca="false">K21*Assumptions!$C$81*Assumptions!K$211</f>
        <v>660</v>
      </c>
      <c r="L157" s="65" t="n">
        <f aca="false">L21*Assumptions!$C$81*Assumptions!L$211</f>
        <v>660</v>
      </c>
      <c r="M157" s="65" t="n">
        <f aca="false">M21*Assumptions!$C$81*Assumptions!M$211</f>
        <v>655.6</v>
      </c>
      <c r="N157" s="65" t="n">
        <f aca="false">N21*Assumptions!$C$81*Assumptions!N$211</f>
        <v>651.229333333333</v>
      </c>
      <c r="O157" s="65" t="n">
        <f aca="false">O21*Assumptions!$C$81*Assumptions!O$211</f>
        <v>651.287804444444</v>
      </c>
      <c r="P157" s="65" t="n">
        <f aca="false">P21*Assumptions!$C$81*Assumptions!P$211</f>
        <v>651.316552414815</v>
      </c>
      <c r="Q157" s="65" t="n">
        <f aca="false">Q21*Assumptions!$C$81*Assumptions!Q$211</f>
        <v>667.598870228128</v>
      </c>
      <c r="R157" s="65" t="n">
        <f aca="false">R21*Assumptions!$C$81*Assumptions!R$211</f>
        <v>667.598677756978</v>
      </c>
      <c r="S157" s="65" t="n">
        <f aca="false">S21*Assumptions!$C$81*Assumptions!S$211</f>
        <v>667.598683013433</v>
      </c>
      <c r="T157" s="65" t="n">
        <f aca="false">T21*Assumptions!$C$81*Assumptions!T$211</f>
        <v>667.598684261531</v>
      </c>
      <c r="U157" s="65" t="n">
        <f aca="false">U21*Assumptions!$C$81*Assumptions!U$211</f>
        <v>667.598684218167</v>
      </c>
      <c r="V157" s="65" t="n">
        <f aca="false">V21*Assumptions!$C$81*Assumptions!V$211</f>
        <v>667.598684210135</v>
      </c>
      <c r="W157" s="65" t="n">
        <f aca="false">W21*Assumptions!$C$81*Assumptions!W$211</f>
        <v>780.348684210478</v>
      </c>
      <c r="X157" s="65" t="n">
        <f aca="false">X21*Assumptions!$C$81*Assumptions!X$211</f>
        <v>779.597017543863</v>
      </c>
      <c r="Y157" s="65" t="n">
        <f aca="false">Y21*Assumptions!$C$81*Assumptions!Y$211</f>
        <v>778.850361988304</v>
      </c>
      <c r="Z157" s="65" t="n">
        <f aca="false">Z21*Assumptions!$C$81*Assumptions!Z$211</f>
        <v>778.860350803119</v>
      </c>
      <c r="AA157" s="65" t="n">
        <f aca="false">AA21*Assumptions!$C$81*Assumptions!AA$211</f>
        <v>778.865261914724</v>
      </c>
      <c r="AB157" s="65" t="n">
        <f aca="false">AB21*Assumptions!$C$81*Assumptions!AB$211</f>
        <v>778.865162581881</v>
      </c>
    </row>
    <row r="158" customFormat="false" ht="15" hidden="false" customHeight="false" outlineLevel="0" collapsed="false">
      <c r="A158" s="28" t="s">
        <v>1246</v>
      </c>
      <c r="B158" s="62" t="s">
        <v>1247</v>
      </c>
      <c r="C158" s="64" t="n">
        <f aca="false">SUM(E158:P158)</f>
        <v>1013908.58426338</v>
      </c>
      <c r="D158" s="64" t="n">
        <f aca="false">SUM(Q158:AB158)</f>
        <v>1173748.20875919</v>
      </c>
      <c r="E158" s="65" t="n">
        <f aca="false">Assumptions!$G$88*(E41+E80+E93)</f>
        <v>75074.34585</v>
      </c>
      <c r="F158" s="65" t="n">
        <f aca="false">Assumptions!$G$88*(F41+F80+F93)</f>
        <v>85799.2524</v>
      </c>
      <c r="G158" s="65" t="n">
        <f aca="false">Assumptions!$G$88*(G41+G80+G93)</f>
        <v>85799.2524</v>
      </c>
      <c r="H158" s="65" t="n">
        <f aca="false">Assumptions!$G$88*(H41+H80+H93)</f>
        <v>85799.2524</v>
      </c>
      <c r="I158" s="65" t="n">
        <f aca="false">Assumptions!$G$88*(I41+I80+I93)</f>
        <v>85799.2524</v>
      </c>
      <c r="J158" s="65" t="n">
        <f aca="false">Assumptions!$G$88*(J41+J80+J93)</f>
        <v>85799.2524</v>
      </c>
      <c r="K158" s="65" t="n">
        <f aca="false">Assumptions!$G$88*(K41+K80+K93)</f>
        <v>85799.2524</v>
      </c>
      <c r="L158" s="65" t="n">
        <f aca="false">Assumptions!$G$88*(L41+L80+L93)</f>
        <v>85799.2524</v>
      </c>
      <c r="M158" s="65" t="n">
        <f aca="false">Assumptions!$G$88*(M41+M80+M93)</f>
        <v>85084.25863</v>
      </c>
      <c r="N158" s="65" t="n">
        <f aca="false">Assumptions!$G$88*(N41+N80+N93)</f>
        <v>84375.2231414167</v>
      </c>
      <c r="O158" s="65" t="n">
        <f aca="false">Assumptions!$G$88*(O41+O80+O93)</f>
        <v>84387.0900519049</v>
      </c>
      <c r="P158" s="65" t="n">
        <f aca="false">Assumptions!$G$88*(P41+P80+P93)</f>
        <v>84392.8997900557</v>
      </c>
      <c r="Q158" s="65" t="n">
        <f aca="false">Assumptions!$G$88*(Q41+Q80+Q93)</f>
        <v>97971.2208533034</v>
      </c>
      <c r="R158" s="65" t="n">
        <f aca="false">Assumptions!$G$88*(R41+R80+R93)</f>
        <v>97879.1167727398</v>
      </c>
      <c r="S158" s="65" t="n">
        <f aca="false">Assumptions!$G$88*(S41+S80+S93)</f>
        <v>97787.8300931163</v>
      </c>
      <c r="T158" s="65" t="n">
        <f aca="false">Assumptions!$G$88*(T41+T80+T93)</f>
        <v>97789.3583494512</v>
      </c>
      <c r="U158" s="65" t="n">
        <f aca="false">Assumptions!$G$88*(U41+U80+U93)</f>
        <v>97790.1063363119</v>
      </c>
      <c r="V158" s="65" t="n">
        <f aca="false">Assumptions!$G$88*(V41+V80+V93)</f>
        <v>97790.0873676186</v>
      </c>
      <c r="W158" s="65" t="n">
        <f aca="false">Assumptions!$G$88*(W41+W80+W93)</f>
        <v>97790.0812924672</v>
      </c>
      <c r="X158" s="65" t="n">
        <f aca="false">Assumptions!$G$88*(X41+X80+X93)</f>
        <v>97790.0815011659</v>
      </c>
      <c r="Y158" s="65" t="n">
        <f aca="false">Assumptions!$G$88*(Y41+Y80+Y93)</f>
        <v>97790.081550053</v>
      </c>
      <c r="Z158" s="65" t="n">
        <f aca="false">Assumptions!$G$88*(Z41+Z80+Z93)</f>
        <v>97790.0815479065</v>
      </c>
      <c r="AA158" s="65" t="n">
        <f aca="false">Assumptions!$G$88*(AA41+AA80+AA93)</f>
        <v>97790.081547517</v>
      </c>
      <c r="AB158" s="65" t="n">
        <f aca="false">Assumptions!$G$88*(AB41+AB80+AB93)</f>
        <v>97790.0815475381</v>
      </c>
    </row>
    <row r="159" customFormat="false" ht="15" hidden="false" customHeight="false" outlineLevel="0" collapsed="false">
      <c r="A159" s="28" t="s">
        <v>1248</v>
      </c>
      <c r="B159" s="62" t="s">
        <v>1247</v>
      </c>
      <c r="C159" s="64" t="n">
        <f aca="false">SUM(E159:P159)</f>
        <v>918459.429382377</v>
      </c>
      <c r="D159" s="64" t="n">
        <f aca="false">SUM(Q159:AB159)</f>
        <v>1063077.02058424</v>
      </c>
      <c r="E159" s="65" t="n">
        <f aca="false">Assumptions!$G$89*(E42+E81+E94)</f>
        <v>73030.87715</v>
      </c>
      <c r="F159" s="65" t="n">
        <f aca="false">Assumptions!$G$89*(F42+F81+F94)</f>
        <v>73030.87715</v>
      </c>
      <c r="G159" s="65" t="n">
        <f aca="false">Assumptions!$G$89*(G42+G81+G94)</f>
        <v>73030.87715</v>
      </c>
      <c r="H159" s="65" t="n">
        <f aca="false">Assumptions!$G$89*(H42+H81+H94)</f>
        <v>79670.0478</v>
      </c>
      <c r="I159" s="65" t="n">
        <f aca="false">Assumptions!$G$89*(I42+I81+I94)</f>
        <v>79670.0478</v>
      </c>
      <c r="J159" s="65" t="n">
        <f aca="false">Assumptions!$G$89*(J42+J81+J94)</f>
        <v>79670.0478</v>
      </c>
      <c r="K159" s="65" t="n">
        <f aca="false">Assumptions!$G$89*(K42+K81+K94)</f>
        <v>79670.0478</v>
      </c>
      <c r="L159" s="65" t="n">
        <f aca="false">Assumptions!$G$89*(L42+L81+L94)</f>
        <v>73030.87715</v>
      </c>
      <c r="M159" s="65" t="n">
        <f aca="false">Assumptions!$G$89*(M42+M81+M94)</f>
        <v>72422.2865070833</v>
      </c>
      <c r="N159" s="65" t="n">
        <f aca="false">Assumptions!$G$89*(N42+N81+N94)</f>
        <v>78457.9381028576</v>
      </c>
      <c r="O159" s="65" t="n">
        <f aca="false">Assumptions!$G$89*(O42+O81+O94)</f>
        <v>78412.7125949172</v>
      </c>
      <c r="P159" s="65" t="n">
        <f aca="false">Assumptions!$G$89*(P42+P81+P94)</f>
        <v>78362.7923775185</v>
      </c>
      <c r="Q159" s="65" t="n">
        <f aca="false">Assumptions!$G$89*(Q42+Q81+Q94)</f>
        <v>80714.525989267</v>
      </c>
      <c r="R159" s="65" t="n">
        <f aca="false">Assumptions!$G$89*(R42+R81+R94)</f>
        <v>80714.947665744</v>
      </c>
      <c r="S159" s="65" t="n">
        <f aca="false">Assumptions!$G$89*(S42+S81+S94)</f>
        <v>87553.2859262083</v>
      </c>
      <c r="T159" s="65" t="n">
        <f aca="false">Assumptions!$G$89*(T42+T81+T94)</f>
        <v>87496.2962600671</v>
      </c>
      <c r="U159" s="65" t="n">
        <f aca="false">Assumptions!$G$89*(U42+U81+U94)</f>
        <v>87439.785021781</v>
      </c>
      <c r="V159" s="65" t="n">
        <f aca="false">Assumptions!$G$89*(V42+V81+V94)</f>
        <v>87440.7308626513</v>
      </c>
      <c r="W159" s="65" t="n">
        <f aca="false">Assumptions!$G$89*(W42+W81+W94)</f>
        <v>87441.1939076297</v>
      </c>
      <c r="X159" s="65" t="n">
        <f aca="false">Assumptions!$G$89*(X42+X81+X94)</f>
        <v>87441.1821669143</v>
      </c>
      <c r="Y159" s="65" t="n">
        <f aca="false">Assumptions!$G$89*(Y42+Y81+Y94)</f>
        <v>94279.5269860454</v>
      </c>
      <c r="Z159" s="65" t="n">
        <f aca="false">Assumptions!$G$89*(Z42+Z81+Z94)</f>
        <v>94222.5408770587</v>
      </c>
      <c r="AA159" s="65" t="n">
        <f aca="false">Assumptions!$G$89*(AA42+AA81+AA94)</f>
        <v>94166.0295544741</v>
      </c>
      <c r="AB159" s="65" t="n">
        <f aca="false">Assumptions!$G$89*(AB42+AB81+AB94)</f>
        <v>94166.9753664039</v>
      </c>
    </row>
    <row r="160" customFormat="false" ht="15" hidden="false" customHeight="false" outlineLevel="0" collapsed="false">
      <c r="A160" s="28" t="s">
        <v>1249</v>
      </c>
      <c r="B160" s="62" t="s">
        <v>1247</v>
      </c>
      <c r="C160" s="64" t="n">
        <f aca="false">SUM(E160:P160)</f>
        <v>489141.726723567</v>
      </c>
      <c r="D160" s="64" t="n">
        <f aca="false">SUM(Q160:AB160)</f>
        <v>600838.943943398</v>
      </c>
      <c r="E160" s="65" t="n">
        <f aca="false">Assumptions!$G$90*(E43+E82+E95)</f>
        <v>38728.3085583333</v>
      </c>
      <c r="F160" s="65" t="n">
        <f aca="false">Assumptions!$G$90*(F43+F82+F95)</f>
        <v>38728.3085583333</v>
      </c>
      <c r="G160" s="65" t="n">
        <f aca="false">Assumptions!$G$90*(G43+G82+G95)</f>
        <v>41707.4092166667</v>
      </c>
      <c r="H160" s="65" t="n">
        <f aca="false">Assumptions!$G$90*(H43+H82+H95)</f>
        <v>41707.4092166667</v>
      </c>
      <c r="I160" s="65" t="n">
        <f aca="false">Assumptions!$G$90*(I43+I82+I95)</f>
        <v>38728.3085583333</v>
      </c>
      <c r="J160" s="65" t="n">
        <f aca="false">Assumptions!$G$90*(J43+J82+J95)</f>
        <v>41707.4092166667</v>
      </c>
      <c r="K160" s="65" t="n">
        <f aca="false">Assumptions!$G$90*(K43+K82+K95)</f>
        <v>41707.4092166667</v>
      </c>
      <c r="L160" s="65" t="n">
        <f aca="false">Assumptions!$G$90*(L43+L82+L95)</f>
        <v>41707.4092166667</v>
      </c>
      <c r="M160" s="65" t="n">
        <f aca="false">Assumptions!$G$90*(M43+M82+M95)</f>
        <v>41359.8474731944</v>
      </c>
      <c r="N160" s="65" t="n">
        <f aca="false">Assumptions!$G$90*(N43+N82+N95)</f>
        <v>41015.1820775845</v>
      </c>
      <c r="O160" s="65" t="n">
        <f aca="false">Assumptions!$G$90*(O43+O82+O95)</f>
        <v>41020.9506370768</v>
      </c>
      <c r="P160" s="65" t="n">
        <f aca="false">Assumptions!$G$90*(P43+P82+P95)</f>
        <v>41023.7747773778</v>
      </c>
      <c r="Q160" s="65" t="n">
        <f aca="false">Assumptions!$G$90*(Q43+Q82+Q95)</f>
        <v>48391.3837843532</v>
      </c>
      <c r="R160" s="65" t="n">
        <f aca="false">Assumptions!$G$90*(R43+R82+R95)</f>
        <v>48340.2189070327</v>
      </c>
      <c r="S160" s="65" t="n">
        <f aca="false">Assumptions!$G$90*(S43+S82+S95)</f>
        <v>48289.5046442385</v>
      </c>
      <c r="T160" s="65" t="n">
        <f aca="false">Assumptions!$G$90*(T43+T82+T95)</f>
        <v>48290.3536370727</v>
      </c>
      <c r="U160" s="65" t="n">
        <f aca="false">Assumptions!$G$90*(U43+U82+U95)</f>
        <v>48290.7691809891</v>
      </c>
      <c r="V160" s="65" t="n">
        <f aca="false">Assumptions!$G$90*(V43+V82+V95)</f>
        <v>51359.2337265162</v>
      </c>
      <c r="W160" s="65" t="n">
        <f aca="false">Assumptions!$G$90*(W43+W82+W95)</f>
        <v>51333.6597257708</v>
      </c>
      <c r="X160" s="65" t="n">
        <f aca="false">Assumptions!$G$90*(X43+X82+X95)</f>
        <v>51308.3023045643</v>
      </c>
      <c r="Y160" s="65" t="n">
        <f aca="false">Assumptions!$G$90*(Y43+Y82+Y95)</f>
        <v>51308.7267330806</v>
      </c>
      <c r="Z160" s="65" t="n">
        <f aca="false">Assumptions!$G$90*(Z43+Z82+Z95)</f>
        <v>51308.9345080196</v>
      </c>
      <c r="AA160" s="65" t="n">
        <f aca="false">Assumptions!$G$90*(AA43+AA82+AA95)</f>
        <v>51308.9292396575</v>
      </c>
      <c r="AB160" s="65" t="n">
        <f aca="false">Assumptions!$G$90*(AB43+AB82+AB95)</f>
        <v>51308.9275521027</v>
      </c>
    </row>
    <row r="161" customFormat="false" ht="15" hidden="false" customHeight="false" outlineLevel="0" collapsed="false">
      <c r="A161" s="28" t="s">
        <v>1250</v>
      </c>
      <c r="B161" s="62" t="s">
        <v>1247</v>
      </c>
      <c r="C161" s="64" t="n">
        <f aca="false">SUM(E161:P161)</f>
        <v>217823.32676774</v>
      </c>
      <c r="D161" s="64" t="n">
        <f aca="false">SUM(Q161:AB161)</f>
        <v>221747.820144799</v>
      </c>
      <c r="E161" s="65" t="n">
        <f aca="false">Assumptions!$G$91*(E44+E83+E96)</f>
        <v>18239.7694</v>
      </c>
      <c r="F161" s="65" t="n">
        <f aca="false">Assumptions!$G$91*(F44+F83+F96)</f>
        <v>18239.7694</v>
      </c>
      <c r="G161" s="65" t="n">
        <f aca="false">Assumptions!$G$91*(G44+G83+G96)</f>
        <v>18239.7694</v>
      </c>
      <c r="H161" s="65" t="n">
        <f aca="false">Assumptions!$G$91*(H44+H83+H96)</f>
        <v>18239.7694</v>
      </c>
      <c r="I161" s="65" t="n">
        <f aca="false">Assumptions!$G$91*(I44+I83+I96)</f>
        <v>18239.7694</v>
      </c>
      <c r="J161" s="65" t="n">
        <f aca="false">Assumptions!$G$91*(J44+J83+J96)</f>
        <v>18239.7694</v>
      </c>
      <c r="K161" s="65" t="n">
        <f aca="false">Assumptions!$G$91*(K44+K83+K96)</f>
        <v>18239.7694</v>
      </c>
      <c r="L161" s="65" t="n">
        <f aca="false">Assumptions!$G$91*(L44+L83+L96)</f>
        <v>18239.7694</v>
      </c>
      <c r="M161" s="65" t="n">
        <f aca="false">Assumptions!$G$91*(M44+M83+M96)</f>
        <v>18087.7713216667</v>
      </c>
      <c r="N161" s="65" t="n">
        <f aca="false">Assumptions!$G$91*(N44+N83+N96)</f>
        <v>17937.0398939861</v>
      </c>
      <c r="O161" s="65" t="n">
        <f aca="false">Assumptions!$G$91*(O44+O83+O96)</f>
        <v>17939.5626398696</v>
      </c>
      <c r="P161" s="65" t="n">
        <f aca="false">Assumptions!$G$91*(P44+P83+P96)</f>
        <v>17940.7977122179</v>
      </c>
      <c r="Q161" s="65" t="n">
        <f aca="false">Assumptions!$G$91*(Q44+Q83+Q96)</f>
        <v>18478.9941279968</v>
      </c>
      <c r="R161" s="65" t="n">
        <f aca="false">Assumptions!$G$91*(R44+R83+R96)</f>
        <v>18478.9837957449</v>
      </c>
      <c r="S161" s="65" t="n">
        <f aca="false">Assumptions!$G$91*(S44+S83+S96)</f>
        <v>18478.9841506355</v>
      </c>
      <c r="T161" s="65" t="n">
        <f aca="false">Assumptions!$G$91*(T44+T83+T96)</f>
        <v>18478.9842337802</v>
      </c>
      <c r="U161" s="65" t="n">
        <f aca="false">Assumptions!$G$91*(U44+U83+U96)</f>
        <v>18478.9842301299</v>
      </c>
      <c r="V161" s="65" t="n">
        <f aca="false">Assumptions!$G$91*(V44+V83+V96)</f>
        <v>18478.9842294674</v>
      </c>
      <c r="W161" s="65" t="n">
        <f aca="false">Assumptions!$G$91*(W44+W83+W96)</f>
        <v>18478.9842295034</v>
      </c>
      <c r="X161" s="65" t="n">
        <f aca="false">Assumptions!$G$91*(X44+X83+X96)</f>
        <v>18478.9842295086</v>
      </c>
      <c r="Y161" s="65" t="n">
        <f aca="false">Assumptions!$G$91*(Y44+Y83+Y96)</f>
        <v>18478.9842295082</v>
      </c>
      <c r="Z161" s="65" t="n">
        <f aca="false">Assumptions!$G$91*(Z44+Z83+Z96)</f>
        <v>18478.9842295082</v>
      </c>
      <c r="AA161" s="65" t="n">
        <f aca="false">Assumptions!$G$91*(AA44+AA83+AA96)</f>
        <v>18478.9842295082</v>
      </c>
      <c r="AB161" s="65" t="n">
        <f aca="false">Assumptions!$G$91*(AB44+AB83+AB96)</f>
        <v>18478.9842295082</v>
      </c>
    </row>
    <row r="162" customFormat="false" ht="15" hidden="false" customHeight="false" outlineLevel="0" collapsed="false">
      <c r="A162" s="28" t="s">
        <v>1251</v>
      </c>
      <c r="B162" s="62" t="s">
        <v>1247</v>
      </c>
      <c r="C162" s="64" t="n">
        <f aca="false">SUM(E162:P162)</f>
        <v>62731.9013498195</v>
      </c>
      <c r="D162" s="64" t="n">
        <f aca="false">SUM(Q162:AB162)</f>
        <v>63862.1455766011</v>
      </c>
      <c r="E162" s="65" t="n">
        <f aca="false">Assumptions!$G$92*(E45+E84+E97)</f>
        <v>5252.9517</v>
      </c>
      <c r="F162" s="65" t="n">
        <f aca="false">Assumptions!$G$92*(F45+F84+F97)</f>
        <v>5252.9517</v>
      </c>
      <c r="G162" s="65" t="n">
        <f aca="false">Assumptions!$G$92*(G45+G84+G97)</f>
        <v>5252.9517</v>
      </c>
      <c r="H162" s="65" t="n">
        <f aca="false">Assumptions!$G$92*(H45+H84+H97)</f>
        <v>5252.9517</v>
      </c>
      <c r="I162" s="65" t="n">
        <f aca="false">Assumptions!$G$92*(I45+I84+I97)</f>
        <v>5252.9517</v>
      </c>
      <c r="J162" s="65" t="n">
        <f aca="false">Assumptions!$G$92*(J45+J84+J97)</f>
        <v>5252.9517</v>
      </c>
      <c r="K162" s="65" t="n">
        <f aca="false">Assumptions!$G$92*(K45+K84+K97)</f>
        <v>5252.9517</v>
      </c>
      <c r="L162" s="65" t="n">
        <f aca="false">Assumptions!$G$92*(L45+L84+L97)</f>
        <v>5252.9517</v>
      </c>
      <c r="M162" s="65" t="n">
        <f aca="false">Assumptions!$G$92*(M45+M84+M97)</f>
        <v>5209.1771025</v>
      </c>
      <c r="N162" s="65" t="n">
        <f aca="false">Assumptions!$G$92*(N45+N84+N97)</f>
        <v>5165.7672933125</v>
      </c>
      <c r="O162" s="65" t="n">
        <f aca="false">Assumptions!$G$92*(O45+O84+O97)</f>
        <v>5166.4938300349</v>
      </c>
      <c r="P162" s="65" t="n">
        <f aca="false">Assumptions!$G$92*(P45+P84+P97)</f>
        <v>5166.84952397211</v>
      </c>
      <c r="Q162" s="65" t="n">
        <f aca="false">Assumptions!$G$92*(Q45+Q84+Q97)</f>
        <v>5321.84809005424</v>
      </c>
      <c r="R162" s="65" t="n">
        <f aca="false">Assumptions!$G$92*(R45+R84+R97)</f>
        <v>5321.84511442284</v>
      </c>
      <c r="S162" s="65" t="n">
        <f aca="false">Assumptions!$G$92*(S45+S84+S97)</f>
        <v>5321.84521662936</v>
      </c>
      <c r="T162" s="65" t="n">
        <f aca="false">Assumptions!$G$92*(T45+T84+T97)</f>
        <v>5321.84524057457</v>
      </c>
      <c r="U162" s="65" t="n">
        <f aca="false">Assumptions!$G$92*(U45+U84+U97)</f>
        <v>5321.8452395233</v>
      </c>
      <c r="V162" s="65" t="n">
        <f aca="false">Assumptions!$G$92*(V45+V84+V97)</f>
        <v>5321.84523933252</v>
      </c>
      <c r="W162" s="65" t="n">
        <f aca="false">Assumptions!$G$92*(W45+W84+W97)</f>
        <v>5321.84523934287</v>
      </c>
      <c r="X162" s="65" t="n">
        <f aca="false">Assumptions!$G$92*(X45+X84+X97)</f>
        <v>5321.84523934437</v>
      </c>
      <c r="Y162" s="65" t="n">
        <f aca="false">Assumptions!$G$92*(Y45+Y84+Y97)</f>
        <v>5321.84523934427</v>
      </c>
      <c r="Z162" s="65" t="n">
        <f aca="false">Assumptions!$G$92*(Z45+Z84+Z97)</f>
        <v>5321.84523934426</v>
      </c>
      <c r="AA162" s="65" t="n">
        <f aca="false">Assumptions!$G$92*(AA45+AA84+AA97)</f>
        <v>5321.84523934426</v>
      </c>
      <c r="AB162" s="65" t="n">
        <f aca="false">Assumptions!$G$92*(AB45+AB84+AB97)</f>
        <v>5321.84523934426</v>
      </c>
    </row>
    <row r="163" customFormat="false" ht="15" hidden="false" customHeight="false" outlineLevel="0" collapsed="false">
      <c r="A163" s="28" t="s">
        <v>1252</v>
      </c>
      <c r="B163" s="62" t="s">
        <v>1247</v>
      </c>
      <c r="C163" s="64" t="n">
        <f aca="false">SUM(E163:P163)</f>
        <v>0</v>
      </c>
      <c r="D163" s="64" t="n">
        <f aca="false">SUM(Q163:AB163)</f>
        <v>0</v>
      </c>
      <c r="E163" s="65" t="n">
        <f aca="false">Assumptions!$G$93*(E46+E85+E98)</f>
        <v>0</v>
      </c>
      <c r="F163" s="65" t="n">
        <f aca="false">Assumptions!$G$93*(F46+F85+F98)</f>
        <v>0</v>
      </c>
      <c r="G163" s="65" t="n">
        <f aca="false">Assumptions!$G$93*(G46+G85+G98)</f>
        <v>0</v>
      </c>
      <c r="H163" s="65" t="n">
        <f aca="false">Assumptions!$G$93*(H46+H85+H98)</f>
        <v>0</v>
      </c>
      <c r="I163" s="65" t="n">
        <f aca="false">Assumptions!$G$93*(I46+I85+I98)</f>
        <v>0</v>
      </c>
      <c r="J163" s="65" t="n">
        <f aca="false">Assumptions!$G$93*(J46+J85+J98)</f>
        <v>0</v>
      </c>
      <c r="K163" s="65" t="n">
        <f aca="false">Assumptions!$G$93*(K46+K85+K98)</f>
        <v>0</v>
      </c>
      <c r="L163" s="65" t="n">
        <f aca="false">Assumptions!$G$93*(L46+L85+L98)</f>
        <v>0</v>
      </c>
      <c r="M163" s="65" t="n">
        <f aca="false">Assumptions!$G$93*(M46+M85+M98)</f>
        <v>0</v>
      </c>
      <c r="N163" s="65" t="n">
        <f aca="false">Assumptions!$G$93*(N46+N85+N98)</f>
        <v>0</v>
      </c>
      <c r="O163" s="65" t="n">
        <f aca="false">Assumptions!$G$93*(O46+O85+O98)</f>
        <v>0</v>
      </c>
      <c r="P163" s="65" t="n">
        <f aca="false">Assumptions!$G$93*(P46+P85+P98)</f>
        <v>0</v>
      </c>
      <c r="Q163" s="65" t="n">
        <f aca="false">Assumptions!$G$93*(Q46+Q85+Q98)</f>
        <v>0</v>
      </c>
      <c r="R163" s="65" t="n">
        <f aca="false">Assumptions!$G$93*(R46+R85+R98)</f>
        <v>0</v>
      </c>
      <c r="S163" s="65" t="n">
        <f aca="false">Assumptions!$G$93*(S46+S85+S98)</f>
        <v>0</v>
      </c>
      <c r="T163" s="65" t="n">
        <f aca="false">Assumptions!$G$93*(T46+T85+T98)</f>
        <v>0</v>
      </c>
      <c r="U163" s="65" t="n">
        <f aca="false">Assumptions!$G$93*(U46+U85+U98)</f>
        <v>0</v>
      </c>
      <c r="V163" s="65" t="n">
        <f aca="false">Assumptions!$G$93*(V46+V85+V98)</f>
        <v>0</v>
      </c>
      <c r="W163" s="65" t="n">
        <f aca="false">Assumptions!$G$93*(W46+W85+W98)</f>
        <v>0</v>
      </c>
      <c r="X163" s="65" t="n">
        <f aca="false">Assumptions!$G$93*(X46+X85+X98)</f>
        <v>0</v>
      </c>
      <c r="Y163" s="65" t="n">
        <f aca="false">Assumptions!$G$93*(Y46+Y85+Y98)</f>
        <v>0</v>
      </c>
      <c r="Z163" s="65" t="n">
        <f aca="false">Assumptions!$G$93*(Z46+Z85+Z98)</f>
        <v>0</v>
      </c>
      <c r="AA163" s="65" t="n">
        <f aca="false">Assumptions!$G$93*(AA46+AA85+AA98)</f>
        <v>0</v>
      </c>
      <c r="AB163" s="65" t="n">
        <f aca="false">Assumptions!$G$93*(AB46+AB85+AB98)</f>
        <v>0</v>
      </c>
    </row>
    <row r="164" customFormat="false" ht="15" hidden="false" customHeight="false" outlineLevel="0" collapsed="false">
      <c r="A164" s="28" t="s">
        <v>1253</v>
      </c>
      <c r="B164" s="62" t="s">
        <v>1247</v>
      </c>
      <c r="C164" s="64" t="n">
        <f aca="false">SUM(E164:P164)</f>
        <v>0</v>
      </c>
      <c r="D164" s="64" t="n">
        <f aca="false">SUM(Q164:AB164)</f>
        <v>0</v>
      </c>
      <c r="E164" s="65" t="n">
        <f aca="false">Assumptions!$G$94*(E47+E86+E99)</f>
        <v>0</v>
      </c>
      <c r="F164" s="65" t="n">
        <f aca="false">Assumptions!$G$94*(F47+F86+F99)</f>
        <v>0</v>
      </c>
      <c r="G164" s="65" t="n">
        <f aca="false">Assumptions!$G$94*(G47+G86+G99)</f>
        <v>0</v>
      </c>
      <c r="H164" s="65" t="n">
        <f aca="false">Assumptions!$G$94*(H47+H86+H99)</f>
        <v>0</v>
      </c>
      <c r="I164" s="65" t="n">
        <f aca="false">Assumptions!$G$94*(I47+I86+I99)</f>
        <v>0</v>
      </c>
      <c r="J164" s="65" t="n">
        <f aca="false">Assumptions!$G$94*(J47+J86+J99)</f>
        <v>0</v>
      </c>
      <c r="K164" s="65" t="n">
        <f aca="false">Assumptions!$G$94*(K47+K86+K99)</f>
        <v>0</v>
      </c>
      <c r="L164" s="65" t="n">
        <f aca="false">Assumptions!$G$94*(L47+L86+L99)</f>
        <v>0</v>
      </c>
      <c r="M164" s="65" t="n">
        <f aca="false">Assumptions!$G$94*(M47+M86+M99)</f>
        <v>0</v>
      </c>
      <c r="N164" s="65" t="n">
        <f aca="false">Assumptions!$G$94*(N47+N86+N99)</f>
        <v>0</v>
      </c>
      <c r="O164" s="65" t="n">
        <f aca="false">Assumptions!$G$94*(O47+O86+O99)</f>
        <v>0</v>
      </c>
      <c r="P164" s="65" t="n">
        <f aca="false">Assumptions!$G$94*(P47+P86+P99)</f>
        <v>0</v>
      </c>
      <c r="Q164" s="65" t="n">
        <f aca="false">Assumptions!$G$94*(Q47+Q86+Q99)</f>
        <v>0</v>
      </c>
      <c r="R164" s="65" t="n">
        <f aca="false">Assumptions!$G$94*(R47+R86+R99)</f>
        <v>0</v>
      </c>
      <c r="S164" s="65" t="n">
        <f aca="false">Assumptions!$G$94*(S47+S86+S99)</f>
        <v>0</v>
      </c>
      <c r="T164" s="65" t="n">
        <f aca="false">Assumptions!$G$94*(T47+T86+T99)</f>
        <v>0</v>
      </c>
      <c r="U164" s="65" t="n">
        <f aca="false">Assumptions!$G$94*(U47+U86+U99)</f>
        <v>0</v>
      </c>
      <c r="V164" s="65" t="n">
        <f aca="false">Assumptions!$G$94*(V47+V86+V99)</f>
        <v>0</v>
      </c>
      <c r="W164" s="65" t="n">
        <f aca="false">Assumptions!$G$94*(W47+W86+W99)</f>
        <v>0</v>
      </c>
      <c r="X164" s="65" t="n">
        <f aca="false">Assumptions!$G$94*(X47+X86+X99)</f>
        <v>0</v>
      </c>
      <c r="Y164" s="65" t="n">
        <f aca="false">Assumptions!$G$94*(Y47+Y86+Y99)</f>
        <v>0</v>
      </c>
      <c r="Z164" s="65" t="n">
        <f aca="false">Assumptions!$G$94*(Z47+Z86+Z99)</f>
        <v>0</v>
      </c>
      <c r="AA164" s="65" t="n">
        <f aca="false">Assumptions!$G$94*(AA47+AA86+AA99)</f>
        <v>0</v>
      </c>
      <c r="AB164" s="65" t="n">
        <f aca="false">Assumptions!$G$94*(AB47+AB86+AB99)</f>
        <v>0</v>
      </c>
    </row>
    <row r="165" customFormat="false" ht="15" hidden="false" customHeight="false" outlineLevel="0" collapsed="false">
      <c r="A165" s="28" t="s">
        <v>1254</v>
      </c>
      <c r="B165" s="62" t="s">
        <v>1247</v>
      </c>
      <c r="C165" s="64" t="n">
        <f aca="false">SUM(E165:P165)</f>
        <v>0</v>
      </c>
      <c r="D165" s="64" t="n">
        <f aca="false">SUM(Q165:AB165)</f>
        <v>0</v>
      </c>
      <c r="E165" s="65" t="n">
        <f aca="false">Assumptions!$G$95*(E48+E87+E100)</f>
        <v>0</v>
      </c>
      <c r="F165" s="65" t="n">
        <f aca="false">Assumptions!$G$95*(F48+F87+F100)</f>
        <v>0</v>
      </c>
      <c r="G165" s="65" t="n">
        <f aca="false">Assumptions!$G$95*(G48+G87+G100)</f>
        <v>0</v>
      </c>
      <c r="H165" s="65" t="n">
        <f aca="false">Assumptions!$G$95*(H48+H87+H100)</f>
        <v>0</v>
      </c>
      <c r="I165" s="65" t="n">
        <f aca="false">Assumptions!$G$95*(I48+I87+I100)</f>
        <v>0</v>
      </c>
      <c r="J165" s="65" t="n">
        <f aca="false">Assumptions!$G$95*(J48+J87+J100)</f>
        <v>0</v>
      </c>
      <c r="K165" s="65" t="n">
        <f aca="false">Assumptions!$G$95*(K48+K87+K100)</f>
        <v>0</v>
      </c>
      <c r="L165" s="65" t="n">
        <f aca="false">Assumptions!$G$95*(L48+L87+L100)</f>
        <v>0</v>
      </c>
      <c r="M165" s="65" t="n">
        <f aca="false">Assumptions!$G$95*(M48+M87+M100)</f>
        <v>0</v>
      </c>
      <c r="N165" s="65" t="n">
        <f aca="false">Assumptions!$G$95*(N48+N87+N100)</f>
        <v>0</v>
      </c>
      <c r="O165" s="65" t="n">
        <f aca="false">Assumptions!$G$95*(O48+O87+O100)</f>
        <v>0</v>
      </c>
      <c r="P165" s="65" t="n">
        <f aca="false">Assumptions!$G$95*(P48+P87+P100)</f>
        <v>0</v>
      </c>
      <c r="Q165" s="65" t="n">
        <f aca="false">Assumptions!$G$95*(Q48+Q87+Q100)</f>
        <v>0</v>
      </c>
      <c r="R165" s="65" t="n">
        <f aca="false">Assumptions!$G$95*(R48+R87+R100)</f>
        <v>0</v>
      </c>
      <c r="S165" s="65" t="n">
        <f aca="false">Assumptions!$G$95*(S48+S87+S100)</f>
        <v>0</v>
      </c>
      <c r="T165" s="65" t="n">
        <f aca="false">Assumptions!$G$95*(T48+T87+T100)</f>
        <v>0</v>
      </c>
      <c r="U165" s="65" t="n">
        <f aca="false">Assumptions!$G$95*(U48+U87+U100)</f>
        <v>0</v>
      </c>
      <c r="V165" s="65" t="n">
        <f aca="false">Assumptions!$G$95*(V48+V87+V100)</f>
        <v>0</v>
      </c>
      <c r="W165" s="65" t="n">
        <f aca="false">Assumptions!$G$95*(W48+W87+W100)</f>
        <v>0</v>
      </c>
      <c r="X165" s="65" t="n">
        <f aca="false">Assumptions!$G$95*(X48+X87+X100)</f>
        <v>0</v>
      </c>
      <c r="Y165" s="65" t="n">
        <f aca="false">Assumptions!$G$95*(Y48+Y87+Y100)</f>
        <v>0</v>
      </c>
      <c r="Z165" s="65" t="n">
        <f aca="false">Assumptions!$G$95*(Z48+Z87+Z100)</f>
        <v>0</v>
      </c>
      <c r="AA165" s="65" t="n">
        <f aca="false">Assumptions!$G$95*(AA48+AA87+AA100)</f>
        <v>0</v>
      </c>
      <c r="AB165" s="65" t="n">
        <f aca="false">Assumptions!$G$95*(AB48+AB87+AB100)</f>
        <v>0</v>
      </c>
    </row>
    <row r="166" customFormat="false" ht="15" hidden="false" customHeight="false" outlineLevel="0" collapsed="false">
      <c r="A166" s="28" t="s">
        <v>1255</v>
      </c>
      <c r="B166" s="62" t="s">
        <v>1247</v>
      </c>
      <c r="C166" s="64" t="n">
        <f aca="false">SUM(E166:P166)</f>
        <v>0</v>
      </c>
      <c r="D166" s="64" t="n">
        <f aca="false">SUM(Q166:AB166)</f>
        <v>0</v>
      </c>
      <c r="E166" s="65" t="n">
        <f aca="false">Assumptions!$G$96*(E49+E88+E101)</f>
        <v>0</v>
      </c>
      <c r="F166" s="65" t="n">
        <f aca="false">Assumptions!$G$96*(F49+F88+F101)</f>
        <v>0</v>
      </c>
      <c r="G166" s="65" t="n">
        <f aca="false">Assumptions!$G$96*(G49+G88+G101)</f>
        <v>0</v>
      </c>
      <c r="H166" s="65" t="n">
        <f aca="false">Assumptions!$G$96*(H49+H88+H101)</f>
        <v>0</v>
      </c>
      <c r="I166" s="65" t="n">
        <f aca="false">Assumptions!$G$96*(I49+I88+I101)</f>
        <v>0</v>
      </c>
      <c r="J166" s="65" t="n">
        <f aca="false">Assumptions!$G$96*(J49+J88+J101)</f>
        <v>0</v>
      </c>
      <c r="K166" s="65" t="n">
        <f aca="false">Assumptions!$G$96*(K49+K88+K101)</f>
        <v>0</v>
      </c>
      <c r="L166" s="65" t="n">
        <f aca="false">Assumptions!$G$96*(L49+L88+L101)</f>
        <v>0</v>
      </c>
      <c r="M166" s="65" t="n">
        <f aca="false">Assumptions!$G$96*(M49+M88+M101)</f>
        <v>0</v>
      </c>
      <c r="N166" s="65" t="n">
        <f aca="false">Assumptions!$G$96*(N49+N88+N101)</f>
        <v>0</v>
      </c>
      <c r="O166" s="65" t="n">
        <f aca="false">Assumptions!$G$96*(O49+O88+O101)</f>
        <v>0</v>
      </c>
      <c r="P166" s="65" t="n">
        <f aca="false">Assumptions!$G$96*(P49+P88+P101)</f>
        <v>0</v>
      </c>
      <c r="Q166" s="65" t="n">
        <f aca="false">Assumptions!$G$96*(Q49+Q88+Q101)</f>
        <v>0</v>
      </c>
      <c r="R166" s="65" t="n">
        <f aca="false">Assumptions!$G$96*(R49+R88+R101)</f>
        <v>0</v>
      </c>
      <c r="S166" s="65" t="n">
        <f aca="false">Assumptions!$G$96*(S49+S88+S101)</f>
        <v>0</v>
      </c>
      <c r="T166" s="65" t="n">
        <f aca="false">Assumptions!$G$96*(T49+T88+T101)</f>
        <v>0</v>
      </c>
      <c r="U166" s="65" t="n">
        <f aca="false">Assumptions!$G$96*(U49+U88+U101)</f>
        <v>0</v>
      </c>
      <c r="V166" s="65" t="n">
        <f aca="false">Assumptions!$G$96*(V49+V88+V101)</f>
        <v>0</v>
      </c>
      <c r="W166" s="65" t="n">
        <f aca="false">Assumptions!$G$96*(W49+W88+W101)</f>
        <v>0</v>
      </c>
      <c r="X166" s="65" t="n">
        <f aca="false">Assumptions!$G$96*(X49+X88+X101)</f>
        <v>0</v>
      </c>
      <c r="Y166" s="65" t="n">
        <f aca="false">Assumptions!$G$96*(Y49+Y88+Y101)</f>
        <v>0</v>
      </c>
      <c r="Z166" s="65" t="n">
        <f aca="false">Assumptions!$G$96*(Z49+Z88+Z101)</f>
        <v>0</v>
      </c>
      <c r="AA166" s="65" t="n">
        <f aca="false">Assumptions!$G$96*(AA49+AA88+AA101)</f>
        <v>0</v>
      </c>
      <c r="AB166" s="65" t="n">
        <f aca="false">Assumptions!$G$96*(AB49+AB88+AB101)</f>
        <v>0</v>
      </c>
    </row>
    <row r="167" customFormat="false" ht="15" hidden="false" customHeight="false" outlineLevel="0" collapsed="false">
      <c r="A167" s="28" t="s">
        <v>1256</v>
      </c>
      <c r="B167" s="62" t="s">
        <v>1247</v>
      </c>
      <c r="C167" s="64" t="n">
        <f aca="false">SUM(E167:P167)</f>
        <v>0</v>
      </c>
      <c r="D167" s="64" t="n">
        <f aca="false">SUM(Q167:AB167)</f>
        <v>0</v>
      </c>
      <c r="E167" s="65" t="n">
        <f aca="false">Assumptions!$G$97*(E50+E89+E102)</f>
        <v>0</v>
      </c>
      <c r="F167" s="65" t="n">
        <f aca="false">Assumptions!$G$97*(F50+F89+F102)</f>
        <v>0</v>
      </c>
      <c r="G167" s="65" t="n">
        <f aca="false">Assumptions!$G$97*(G50+G89+G102)</f>
        <v>0</v>
      </c>
      <c r="H167" s="65" t="n">
        <f aca="false">Assumptions!$G$97*(H50+H89+H102)</f>
        <v>0</v>
      </c>
      <c r="I167" s="65" t="n">
        <f aca="false">Assumptions!$G$97*(I50+I89+I102)</f>
        <v>0</v>
      </c>
      <c r="J167" s="65" t="n">
        <f aca="false">Assumptions!$G$97*(J50+J89+J102)</f>
        <v>0</v>
      </c>
      <c r="K167" s="65" t="n">
        <f aca="false">Assumptions!$G$97*(K50+K89+K102)</f>
        <v>0</v>
      </c>
      <c r="L167" s="65" t="n">
        <f aca="false">Assumptions!$G$97*(L50+L89+L102)</f>
        <v>0</v>
      </c>
      <c r="M167" s="65" t="n">
        <f aca="false">Assumptions!$G$97*(M50+M89+M102)</f>
        <v>0</v>
      </c>
      <c r="N167" s="65" t="n">
        <f aca="false">Assumptions!$G$97*(N50+N89+N102)</f>
        <v>0</v>
      </c>
      <c r="O167" s="65" t="n">
        <f aca="false">Assumptions!$G$97*(O50+O89+O102)</f>
        <v>0</v>
      </c>
      <c r="P167" s="65" t="n">
        <f aca="false">Assumptions!$G$97*(P50+P89+P102)</f>
        <v>0</v>
      </c>
      <c r="Q167" s="65" t="n">
        <f aca="false">Assumptions!$G$97*(Q50+Q89+Q102)</f>
        <v>0</v>
      </c>
      <c r="R167" s="65" t="n">
        <f aca="false">Assumptions!$G$97*(R50+R89+R102)</f>
        <v>0</v>
      </c>
      <c r="S167" s="65" t="n">
        <f aca="false">Assumptions!$G$97*(S50+S89+S102)</f>
        <v>0</v>
      </c>
      <c r="T167" s="65" t="n">
        <f aca="false">Assumptions!$G$97*(T50+T89+T102)</f>
        <v>0</v>
      </c>
      <c r="U167" s="65" t="n">
        <f aca="false">Assumptions!$G$97*(U50+U89+U102)</f>
        <v>0</v>
      </c>
      <c r="V167" s="65" t="n">
        <f aca="false">Assumptions!$G$97*(V50+V89+V102)</f>
        <v>0</v>
      </c>
      <c r="W167" s="65" t="n">
        <f aca="false">Assumptions!$G$97*(W50+W89+W102)</f>
        <v>0</v>
      </c>
      <c r="X167" s="65" t="n">
        <f aca="false">Assumptions!$G$97*(X50+X89+X102)</f>
        <v>0</v>
      </c>
      <c r="Y167" s="65" t="n">
        <f aca="false">Assumptions!$G$97*(Y50+Y89+Y102)</f>
        <v>0</v>
      </c>
      <c r="Z167" s="65" t="n">
        <f aca="false">Assumptions!$G$97*(Z50+Z89+Z102)</f>
        <v>0</v>
      </c>
      <c r="AA167" s="65" t="n">
        <f aca="false">Assumptions!$G$97*(AA50+AA89+AA102)</f>
        <v>0</v>
      </c>
      <c r="AB167" s="65" t="n">
        <f aca="false">Assumptions!$G$97*(AB50+AB89+AB102)</f>
        <v>0</v>
      </c>
    </row>
    <row r="168" customFormat="false" ht="15" hidden="false" customHeight="false" outlineLevel="0" collapsed="false">
      <c r="A168" s="28" t="s">
        <v>1257</v>
      </c>
      <c r="B168" s="62" t="s">
        <v>1247</v>
      </c>
      <c r="C168" s="64" t="n">
        <f aca="false">SUM(E168:P168)</f>
        <v>0</v>
      </c>
      <c r="D168" s="64" t="n">
        <f aca="false">SUM(Q168:AB168)</f>
        <v>0</v>
      </c>
      <c r="E168" s="65" t="n">
        <f aca="false">Assumptions!$G$98*(E51+E90+E103)</f>
        <v>0</v>
      </c>
      <c r="F168" s="65" t="n">
        <f aca="false">Assumptions!$G$98*(F51+F90+F103)</f>
        <v>0</v>
      </c>
      <c r="G168" s="65" t="n">
        <f aca="false">Assumptions!$G$98*(G51+G90+G103)</f>
        <v>0</v>
      </c>
      <c r="H168" s="65" t="n">
        <f aca="false">Assumptions!$G$98*(H51+H90+H103)</f>
        <v>0</v>
      </c>
      <c r="I168" s="65" t="n">
        <f aca="false">Assumptions!$G$98*(I51+I90+I103)</f>
        <v>0</v>
      </c>
      <c r="J168" s="65" t="n">
        <f aca="false">Assumptions!$G$98*(J51+J90+J103)</f>
        <v>0</v>
      </c>
      <c r="K168" s="65" t="n">
        <f aca="false">Assumptions!$G$98*(K51+K90+K103)</f>
        <v>0</v>
      </c>
      <c r="L168" s="65" t="n">
        <f aca="false">Assumptions!$G$98*(L51+L90+L103)</f>
        <v>0</v>
      </c>
      <c r="M168" s="65" t="n">
        <f aca="false">Assumptions!$G$98*(M51+M90+M103)</f>
        <v>0</v>
      </c>
      <c r="N168" s="65" t="n">
        <f aca="false">Assumptions!$G$98*(N51+N90+N103)</f>
        <v>0</v>
      </c>
      <c r="O168" s="65" t="n">
        <f aca="false">Assumptions!$G$98*(O51+O90+O103)</f>
        <v>0</v>
      </c>
      <c r="P168" s="65" t="n">
        <f aca="false">Assumptions!$G$98*(P51+P90+P103)</f>
        <v>0</v>
      </c>
      <c r="Q168" s="65" t="n">
        <f aca="false">Assumptions!$G$98*(Q51+Q90+Q103)</f>
        <v>0</v>
      </c>
      <c r="R168" s="65" t="n">
        <f aca="false">Assumptions!$G$98*(R51+R90+R103)</f>
        <v>0</v>
      </c>
      <c r="S168" s="65" t="n">
        <f aca="false">Assumptions!$G$98*(S51+S90+S103)</f>
        <v>0</v>
      </c>
      <c r="T168" s="65" t="n">
        <f aca="false">Assumptions!$G$98*(T51+T90+T103)</f>
        <v>0</v>
      </c>
      <c r="U168" s="65" t="n">
        <f aca="false">Assumptions!$G$98*(U51+U90+U103)</f>
        <v>0</v>
      </c>
      <c r="V168" s="65" t="n">
        <f aca="false">Assumptions!$G$98*(V51+V90+V103)</f>
        <v>0</v>
      </c>
      <c r="W168" s="65" t="n">
        <f aca="false">Assumptions!$G$98*(W51+W90+W103)</f>
        <v>0</v>
      </c>
      <c r="X168" s="65" t="n">
        <f aca="false">Assumptions!$G$98*(X51+X90+X103)</f>
        <v>0</v>
      </c>
      <c r="Y168" s="65" t="n">
        <f aca="false">Assumptions!$G$98*(Y51+Y90+Y103)</f>
        <v>0</v>
      </c>
      <c r="Z168" s="65" t="n">
        <f aca="false">Assumptions!$G$98*(Z51+Z90+Z103)</f>
        <v>0</v>
      </c>
      <c r="AA168" s="65" t="n">
        <f aca="false">Assumptions!$G$98*(AA51+AA90+AA103)</f>
        <v>0</v>
      </c>
      <c r="AB168" s="65" t="n">
        <f aca="false">Assumptions!$G$98*(AB51+AB90+AB103)</f>
        <v>0</v>
      </c>
    </row>
    <row r="169" customFormat="false" ht="15" hidden="false" customHeight="false" outlineLevel="0" collapsed="false">
      <c r="A169" s="28" t="s">
        <v>1258</v>
      </c>
      <c r="B169" s="62" t="s">
        <v>1247</v>
      </c>
      <c r="C169" s="64" t="n">
        <f aca="false">SUM(E169:P169)</f>
        <v>0</v>
      </c>
      <c r="D169" s="64" t="n">
        <f aca="false">SUM(Q169:AB169)</f>
        <v>0</v>
      </c>
      <c r="E169" s="65" t="n">
        <f aca="false">Assumptions!$G$99*(E52+E91+E104)</f>
        <v>0</v>
      </c>
      <c r="F169" s="65" t="n">
        <f aca="false">Assumptions!$G$99*(F52+F91+F104)</f>
        <v>0</v>
      </c>
      <c r="G169" s="65" t="n">
        <f aca="false">Assumptions!$G$99*(G52+G91+G104)</f>
        <v>0</v>
      </c>
      <c r="H169" s="65" t="n">
        <f aca="false">Assumptions!$G$99*(H52+H91+H104)</f>
        <v>0</v>
      </c>
      <c r="I169" s="65" t="n">
        <f aca="false">Assumptions!$G$99*(I52+I91+I104)</f>
        <v>0</v>
      </c>
      <c r="J169" s="65" t="n">
        <f aca="false">Assumptions!$G$99*(J52+J91+J104)</f>
        <v>0</v>
      </c>
      <c r="K169" s="65" t="n">
        <f aca="false">Assumptions!$G$99*(K52+K91+K104)</f>
        <v>0</v>
      </c>
      <c r="L169" s="65" t="n">
        <f aca="false">Assumptions!$G$99*(L52+L91+L104)</f>
        <v>0</v>
      </c>
      <c r="M169" s="65" t="n">
        <f aca="false">Assumptions!$G$99*(M52+M91+M104)</f>
        <v>0</v>
      </c>
      <c r="N169" s="65" t="n">
        <f aca="false">Assumptions!$G$99*(N52+N91+N104)</f>
        <v>0</v>
      </c>
      <c r="O169" s="65" t="n">
        <f aca="false">Assumptions!$G$99*(O52+O91+O104)</f>
        <v>0</v>
      </c>
      <c r="P169" s="65" t="n">
        <f aca="false">Assumptions!$G$99*(P52+P91+P104)</f>
        <v>0</v>
      </c>
      <c r="Q169" s="65" t="n">
        <f aca="false">Assumptions!$G$99*(Q52+Q91+Q104)</f>
        <v>0</v>
      </c>
      <c r="R169" s="65" t="n">
        <f aca="false">Assumptions!$G$99*(R52+R91+R104)</f>
        <v>0</v>
      </c>
      <c r="S169" s="65" t="n">
        <f aca="false">Assumptions!$G$99*(S52+S91+S104)</f>
        <v>0</v>
      </c>
      <c r="T169" s="65" t="n">
        <f aca="false">Assumptions!$G$99*(T52+T91+T104)</f>
        <v>0</v>
      </c>
      <c r="U169" s="65" t="n">
        <f aca="false">Assumptions!$G$99*(U52+U91+U104)</f>
        <v>0</v>
      </c>
      <c r="V169" s="65" t="n">
        <f aca="false">Assumptions!$G$99*(V52+V91+V104)</f>
        <v>0</v>
      </c>
      <c r="W169" s="65" t="n">
        <f aca="false">Assumptions!$G$99*(W52+W91+W104)</f>
        <v>0</v>
      </c>
      <c r="X169" s="65" t="n">
        <f aca="false">Assumptions!$G$99*(X52+X91+X104)</f>
        <v>0</v>
      </c>
      <c r="Y169" s="65" t="n">
        <f aca="false">Assumptions!$G$99*(Y52+Y91+Y104)</f>
        <v>0</v>
      </c>
      <c r="Z169" s="65" t="n">
        <f aca="false">Assumptions!$G$99*(Z52+Z91+Z104)</f>
        <v>0</v>
      </c>
      <c r="AA169" s="65" t="n">
        <f aca="false">Assumptions!$G$99*(AA52+AA91+AA104)</f>
        <v>0</v>
      </c>
      <c r="AB169" s="65" t="n">
        <f aca="false">Assumptions!$G$99*(AB52+AB91+AB104)</f>
        <v>0</v>
      </c>
    </row>
    <row r="170" customFormat="false" ht="15" hidden="false" customHeight="false" outlineLevel="0" collapsed="false">
      <c r="A170" s="28" t="s">
        <v>1259</v>
      </c>
      <c r="B170" s="62" t="s">
        <v>1247</v>
      </c>
      <c r="C170" s="64" t="n">
        <f aca="false">SUM(E170:P170)</f>
        <v>0</v>
      </c>
      <c r="D170" s="64" t="n">
        <f aca="false">SUM(Q170:AB170)</f>
        <v>0</v>
      </c>
      <c r="E170" s="65" t="n">
        <f aca="false">Assumptions!$G$100*(E53+E92+E105)</f>
        <v>0</v>
      </c>
      <c r="F170" s="65" t="n">
        <f aca="false">Assumptions!$G$100*(F53+F92+F105)</f>
        <v>0</v>
      </c>
      <c r="G170" s="65" t="n">
        <f aca="false">Assumptions!$G$100*(G53+G92+G105)</f>
        <v>0</v>
      </c>
      <c r="H170" s="65" t="n">
        <f aca="false">Assumptions!$G$100*(H53+H92+H105)</f>
        <v>0</v>
      </c>
      <c r="I170" s="65" t="n">
        <f aca="false">Assumptions!$G$100*(I53+I92+I105)</f>
        <v>0</v>
      </c>
      <c r="J170" s="65" t="n">
        <f aca="false">Assumptions!$G$100*(J53+J92+J105)</f>
        <v>0</v>
      </c>
      <c r="K170" s="65" t="n">
        <f aca="false">Assumptions!$G$100*(K53+K92+K105)</f>
        <v>0</v>
      </c>
      <c r="L170" s="65" t="n">
        <f aca="false">Assumptions!$G$100*(L53+L92+L105)</f>
        <v>0</v>
      </c>
      <c r="M170" s="65" t="n">
        <f aca="false">Assumptions!$G$100*(M53+M92+M105)</f>
        <v>0</v>
      </c>
      <c r="N170" s="65" t="n">
        <f aca="false">Assumptions!$G$100*(N53+N92+N105)</f>
        <v>0</v>
      </c>
      <c r="O170" s="65" t="n">
        <f aca="false">Assumptions!$G$100*(O53+O92+O105)</f>
        <v>0</v>
      </c>
      <c r="P170" s="65" t="n">
        <f aca="false">Assumptions!$G$100*(P53+P92+P105)</f>
        <v>0</v>
      </c>
      <c r="Q170" s="65" t="n">
        <f aca="false">Assumptions!$G$100*(Q53+Q92+Q105)</f>
        <v>0</v>
      </c>
      <c r="R170" s="65" t="n">
        <f aca="false">Assumptions!$G$100*(R53+R92+R105)</f>
        <v>0</v>
      </c>
      <c r="S170" s="65" t="n">
        <f aca="false">Assumptions!$G$100*(S53+S92+S105)</f>
        <v>0</v>
      </c>
      <c r="T170" s="65" t="n">
        <f aca="false">Assumptions!$G$100*(T53+T92+T105)</f>
        <v>0</v>
      </c>
      <c r="U170" s="65" t="n">
        <f aca="false">Assumptions!$G$100*(U53+U92+U105)</f>
        <v>0</v>
      </c>
      <c r="V170" s="65" t="n">
        <f aca="false">Assumptions!$G$100*(V53+V92+V105)</f>
        <v>0</v>
      </c>
      <c r="W170" s="65" t="n">
        <f aca="false">Assumptions!$G$100*(W53+W92+W105)</f>
        <v>0</v>
      </c>
      <c r="X170" s="65" t="n">
        <f aca="false">Assumptions!$G$100*(X53+X92+X105)</f>
        <v>0</v>
      </c>
      <c r="Y170" s="65" t="n">
        <f aca="false">Assumptions!$G$100*(Y53+Y92+Y105)</f>
        <v>0</v>
      </c>
      <c r="Z170" s="65" t="n">
        <f aca="false">Assumptions!$G$100*(Z53+Z92+Z105)</f>
        <v>0</v>
      </c>
      <c r="AA170" s="65" t="n">
        <f aca="false">Assumptions!$G$100*(AA53+AA92+AA105)</f>
        <v>0</v>
      </c>
      <c r="AB170" s="65" t="n">
        <f aca="false">Assumptions!$G$100*(AB53+AB92+AB105)</f>
        <v>0</v>
      </c>
    </row>
    <row r="171" customFormat="false" ht="15" hidden="false" customHeight="false" outlineLevel="0" collapsed="false">
      <c r="A171" s="22" t="s">
        <v>1260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customFormat="false" ht="15" hidden="false" customHeight="false" outlineLevel="0" collapsed="false">
      <c r="A172" s="28" t="s">
        <v>1261</v>
      </c>
      <c r="B172" s="62"/>
      <c r="C172" s="67" t="n">
        <f aca="false">P172</f>
        <v>42.2949724247685</v>
      </c>
      <c r="D172" s="67" t="n">
        <f aca="false">AB172</f>
        <v>48.1966558190051</v>
      </c>
      <c r="E172" s="80" t="n">
        <f aca="false">E9+E10+E11+E12+E13</f>
        <v>40</v>
      </c>
      <c r="F172" s="80" t="n">
        <f aca="false">F9+F10+F11+F12+F13</f>
        <v>41</v>
      </c>
      <c r="G172" s="80" t="n">
        <f aca="false">G9+G10+G11+G12+G13</f>
        <v>42</v>
      </c>
      <c r="H172" s="80" t="n">
        <f aca="false">H9+H10+H11+H12+H13</f>
        <v>43</v>
      </c>
      <c r="I172" s="80" t="n">
        <f aca="false">I9+I10+I11+I12+I13</f>
        <v>42</v>
      </c>
      <c r="J172" s="80" t="n">
        <f aca="false">J9+J10+J11+J12+J13</f>
        <v>43</v>
      </c>
      <c r="K172" s="80" t="n">
        <f aca="false">K9+K10+K11+K12+K13</f>
        <v>43</v>
      </c>
      <c r="L172" s="80" t="n">
        <f aca="false">L9+L10+L11+L12+L13</f>
        <v>42</v>
      </c>
      <c r="M172" s="80" t="n">
        <f aca="false">M9+M10+M11+M12+M13</f>
        <v>41.65</v>
      </c>
      <c r="N172" s="80" t="n">
        <f aca="false">N9+N10+N11+N12+N13</f>
        <v>42.3029166666667</v>
      </c>
      <c r="O172" s="80" t="n">
        <f aca="false">O9+O10+O11+O12+O13</f>
        <v>42.3003923611111</v>
      </c>
      <c r="P172" s="80" t="n">
        <f aca="false">P9+P10+P11+P12+P13</f>
        <v>42.2949724247685</v>
      </c>
      <c r="Q172" s="80" t="n">
        <f aca="false">Q9+Q10+Q11+Q12+Q13</f>
        <v>45.2950386267843</v>
      </c>
      <c r="R172" s="80" t="n">
        <f aca="false">R9+R10+R11+R12+R13</f>
        <v>45.2700832412371</v>
      </c>
      <c r="S172" s="80" t="n">
        <f aca="false">S9+S10+S11+S12+S13</f>
        <v>46.2452906510998</v>
      </c>
      <c r="T172" s="80" t="n">
        <f aca="false">T9+T10+T11+T12+T13</f>
        <v>46.2373718842305</v>
      </c>
      <c r="U172" s="80" t="n">
        <f aca="false">U9+U10+U11+U12+U13</f>
        <v>46.2293111455389</v>
      </c>
      <c r="V172" s="80" t="n">
        <f aca="false">V9+V10+V11+V12+V13</f>
        <v>47.2294443080853</v>
      </c>
      <c r="W172" s="80" t="n">
        <f aca="false">W9+W10+W11+W12+W13</f>
        <v>47.2211770378865</v>
      </c>
      <c r="X172" s="80" t="n">
        <f aca="false">X9+X10+X11+X12+X13</f>
        <v>47.2129114887836</v>
      </c>
      <c r="Y172" s="80" t="n">
        <f aca="false">Y9+Y10+Y11+Y12+Y13</f>
        <v>48.2130492622778</v>
      </c>
      <c r="Z172" s="80" t="n">
        <f aca="false">Z9+Z10+Z11+Z12+Z13</f>
        <v>48.2047836604078</v>
      </c>
      <c r="AA172" s="80" t="n">
        <f aca="false">AA9+AA10+AA11+AA12+AA13</f>
        <v>48.1965180589776</v>
      </c>
      <c r="AB172" s="80" t="n">
        <f aca="false">AB9+AB10+AB11+AB12+AB13</f>
        <v>48.1966558190051</v>
      </c>
    </row>
    <row r="173" customFormat="false" ht="15" hidden="false" customHeight="false" outlineLevel="0" collapsed="false">
      <c r="A173" s="28" t="s">
        <v>1262</v>
      </c>
      <c r="B173" s="62"/>
      <c r="C173" s="64" t="n">
        <f aca="false">SUM(E173:P173)</f>
        <v>3433090.96594401</v>
      </c>
      <c r="D173" s="64" t="n">
        <f aca="false">SUM(Q173:AB173)</f>
        <v>3928640.04744227</v>
      </c>
      <c r="E173" s="65" t="n">
        <f aca="false">IF(E$5="A",Inputs_Actuals!E90,E41+E42+E43+E44+E45)</f>
        <v>271356.79</v>
      </c>
      <c r="F173" s="65" t="n">
        <f aca="false">IF(F$5="A",Inputs_Actuals!F90,F41+F42+F43+F44+F45)</f>
        <v>279644.1</v>
      </c>
      <c r="G173" s="65" t="n">
        <f aca="false">IF(G$5="A",Inputs_Actuals!G90,G41+G42+G43+G44+G45)</f>
        <v>284994.22</v>
      </c>
      <c r="H173" s="65" t="n">
        <f aca="false">IF(H$5="A",Inputs_Actuals!H90,H41+H42+H43+H44+H45)</f>
        <v>293129.64</v>
      </c>
      <c r="I173" s="65" t="n">
        <f aca="false">IF(I$5="A",Inputs_Actuals!I90,I41+I42+I43+I44+I45)</f>
        <v>286465.73</v>
      </c>
      <c r="J173" s="65" t="n">
        <f aca="false">IF(J$5="A",Inputs_Actuals!J90,J41+J42+J43+J44+J45)</f>
        <v>292350.55</v>
      </c>
      <c r="K173" s="65" t="n">
        <f aca="false">IF(K$5="A",Inputs_Actuals!K90,K41+K42+K43+K44+K45)</f>
        <v>292577.46</v>
      </c>
      <c r="L173" s="65" t="n">
        <f aca="false">IF(L$5="A",Inputs_Actuals!L90,L41+L42+L43+L44+L45)</f>
        <v>286745.35</v>
      </c>
      <c r="M173" s="65" t="n">
        <f aca="false">IF(M$5="A",Inputs_Actuals!M90,M41+M42+M43+M44+M45)</f>
        <v>283368.75</v>
      </c>
      <c r="N173" s="65" t="n">
        <f aca="false">IF(N$5="A",Inputs_Actuals!N90,N41+N42+N43+N44+N45)</f>
        <v>287507.34375</v>
      </c>
      <c r="O173" s="65" t="n">
        <f aca="false">IF(O$5="A",Inputs_Actuals!O90,O41+O42+O43+O44+O45)</f>
        <v>287492.69921875</v>
      </c>
      <c r="P173" s="65" t="n">
        <f aca="false">IF(P$5="A",Inputs_Actuals!P90,P41+P42+P43+P44+P45)</f>
        <v>287458.33297526</v>
      </c>
      <c r="Q173" s="65" t="n">
        <f aca="false">IF(Q$5="A",Inputs_Actuals!Q90,Q41+Q42+Q43+Q44+Q45)</f>
        <v>316510.836973668</v>
      </c>
      <c r="R173" s="65" t="n">
        <f aca="false">IF(R$5="A",Inputs_Actuals!R90,R41+R42+R43+R44+R45)</f>
        <v>316340.892333848</v>
      </c>
      <c r="S173" s="65" t="n">
        <f aca="false">IF(S$5="A",Inputs_Actuals!S90,S41+S42+S43+S44+S45)</f>
        <v>322867.068922437</v>
      </c>
      <c r="T173" s="65" t="n">
        <f aca="false">IF(T$5="A",Inputs_Actuals!T90,T41+T42+T43+T44+T45)</f>
        <v>322814.100322864</v>
      </c>
      <c r="U173" s="65" t="n">
        <f aca="false">IF(U$5="A",Inputs_Actuals!U90,U41+U42+U43+U44+U45)</f>
        <v>322760.156922956</v>
      </c>
      <c r="V173" s="65" t="n">
        <f aca="false">IF(V$5="A",Inputs_Actuals!V90,V41+V42+V43+V44+V45)</f>
        <v>328769.381189618</v>
      </c>
      <c r="W173" s="65" t="n">
        <f aca="false">IF(W$5="A",Inputs_Actuals!W90,W41+W42+W43+W44+W45)</f>
        <v>328719.753849062</v>
      </c>
      <c r="X173" s="65" t="n">
        <f aca="false">IF(X$5="A",Inputs_Actuals!X90,X41+X42+X43+X44+X45)</f>
        <v>328670.090541344</v>
      </c>
      <c r="Y173" s="65" t="n">
        <f aca="false">IF(Y$5="A",Inputs_Actuals!Y90,Y41+Y42+Y43+Y44+Y45)</f>
        <v>335365.917963413</v>
      </c>
      <c r="Z173" s="65" t="n">
        <f aca="false">IF(Z$5="A",Inputs_Actuals!Z90,Z41+Z42+Z43+Z44+Z45)</f>
        <v>335310.53326246</v>
      </c>
      <c r="AA173" s="65" t="n">
        <f aca="false">IF(AA$5="A",Inputs_Actuals!AA90,AA41+AA42+AA43+AA44+AA45)</f>
        <v>335255.196239784</v>
      </c>
      <c r="AB173" s="65" t="n">
        <f aca="false">IF(AB$5="A",Inputs_Actuals!AB90,AB41+AB42+AB43+AB44+AB45)</f>
        <v>335256.118920815</v>
      </c>
    </row>
    <row r="174" customFormat="false" ht="15" hidden="false" customHeight="false" outlineLevel="0" collapsed="false">
      <c r="A174" s="28" t="s">
        <v>1263</v>
      </c>
      <c r="B174" s="62"/>
      <c r="C174" s="64" t="n">
        <f aca="false">SUM(E174:P174)</f>
        <v>1240441.01244324</v>
      </c>
      <c r="D174" s="64" t="n">
        <f aca="false">SUM(Q174:AB174)</f>
        <v>1418942.89739913</v>
      </c>
      <c r="E174" s="65" t="n">
        <f aca="false">IF(E$5="A",Inputs_Actuals!E91,E80+E81+E82+E83+E84)</f>
        <v>98305.61</v>
      </c>
      <c r="F174" s="65" t="n">
        <f aca="false">IF(F$5="A",Inputs_Actuals!F91,F80+F81+F82+F83+F84)</f>
        <v>101080.11</v>
      </c>
      <c r="G174" s="65" t="n">
        <f aca="false">IF(G$5="A",Inputs_Actuals!G91,G80+G81+G82+G83+G84)</f>
        <v>103127.91</v>
      </c>
      <c r="H174" s="65" t="n">
        <f aca="false">IF(H$5="A",Inputs_Actuals!H91,H80+H81+H82+H83+H84)</f>
        <v>105634.79</v>
      </c>
      <c r="I174" s="65" t="n">
        <f aca="false">IF(I$5="A",Inputs_Actuals!I91,I80+I81+I82+I83+I84)</f>
        <v>103675.59</v>
      </c>
      <c r="J174" s="65" t="n">
        <f aca="false">IF(J$5="A",Inputs_Actuals!J91,J80+J81+J82+J83+J84)</f>
        <v>105575.49</v>
      </c>
      <c r="K174" s="65" t="n">
        <f aca="false">IF(K$5="A",Inputs_Actuals!K91,K80+K81+K82+K83+K84)</f>
        <v>105687.75</v>
      </c>
      <c r="L174" s="65" t="n">
        <f aca="false">IF(L$5="A",Inputs_Actuals!L91,L80+L81+L82+L83+L84)</f>
        <v>103217.21</v>
      </c>
      <c r="M174" s="65" t="n">
        <f aca="false">IF(M$5="A",Inputs_Actuals!M91,M80+M81+M82+M83+M84)</f>
        <v>102406.78875</v>
      </c>
      <c r="N174" s="65" t="n">
        <f aca="false">IF(N$5="A",Inputs_Actuals!N91,N80+N81+N82+N83+N84)</f>
        <v>103917.71634375</v>
      </c>
      <c r="O174" s="65" t="n">
        <f aca="false">IF(O$5="A",Inputs_Actuals!O91,O80+O81+O82+O83+O84)</f>
        <v>103912.296624219</v>
      </c>
      <c r="P174" s="65" t="n">
        <f aca="false">IF(P$5="A",Inputs_Actuals!P91,P80+P81+P82+P83+P84)</f>
        <v>103899.750725267</v>
      </c>
      <c r="Q174" s="65" t="n">
        <f aca="false">IF(Q$5="A",Inputs_Actuals!Q91,Q80+Q81+Q82+Q83+Q84)</f>
        <v>114273.94585261</v>
      </c>
      <c r="R174" s="65" t="n">
        <f aca="false">IF(R$5="A",Inputs_Actuals!R91,R80+R81+R82+R83+R84)</f>
        <v>114212.366767826</v>
      </c>
      <c r="S174" s="65" t="n">
        <f aca="false">IF(S$5="A",Inputs_Actuals!S91,S80+S81+S82+S83+S84)</f>
        <v>116583.007511496</v>
      </c>
      <c r="T174" s="65" t="n">
        <f aca="false">IF(T$5="A",Inputs_Actuals!T91,T80+T81+T82+T83+T84)</f>
        <v>116563.765331006</v>
      </c>
      <c r="U174" s="65" t="n">
        <f aca="false">IF(U$5="A",Inputs_Actuals!U91,U80+U81+U82+U83+U84)</f>
        <v>116544.170342979</v>
      </c>
      <c r="V174" s="65" t="n">
        <f aca="false">IF(V$5="A",Inputs_Actuals!V91,V80+V81+V82+V83+V84)</f>
        <v>118762.713652717</v>
      </c>
      <c r="W174" s="65" t="n">
        <f aca="false">IF(W$5="A",Inputs_Actuals!W91,W80+W81+W82+W83+W84)</f>
        <v>118744.389083369</v>
      </c>
      <c r="X174" s="65" t="n">
        <f aca="false">IF(X$5="A",Inputs_Actuals!X91,X80+X81+X82+X83+X84)</f>
        <v>118726.053927199</v>
      </c>
      <c r="Y174" s="65" t="n">
        <f aca="false">IF(Y$5="A",Inputs_Actuals!Y91,Y80+Y81+Y82+Y83+Y84)</f>
        <v>121158.173624912</v>
      </c>
      <c r="Z174" s="65" t="n">
        <f aca="false">IF(Z$5="A",Inputs_Actuals!Z91,Z80+Z81+Z82+Z83+Z84)</f>
        <v>121138.058753732</v>
      </c>
      <c r="AA174" s="65" t="n">
        <f aca="false">IF(AA$5="A",Inputs_Actuals!AA91,AA80+AA81+AA82+AA83+AA84)</f>
        <v>121117.958713511</v>
      </c>
      <c r="AB174" s="65" t="n">
        <f aca="false">IF(AB$5="A",Inputs_Actuals!AB91,AB80+AB81+AB82+AB83+AB84)</f>
        <v>121118.293837773</v>
      </c>
    </row>
    <row r="175" customFormat="false" ht="15" hidden="false" customHeight="false" outlineLevel="0" collapsed="false">
      <c r="A175" s="28" t="s">
        <v>1264</v>
      </c>
      <c r="B175" s="62"/>
      <c r="C175" s="64" t="n">
        <f aca="false">SUM(E175:P175)</f>
        <v>0</v>
      </c>
      <c r="D175" s="64" t="n">
        <f aca="false">SUM(Q175:AB175)</f>
        <v>0</v>
      </c>
      <c r="E175" s="65" t="n">
        <f aca="false">IF(E$5="A",Inputs_Actuals!E92,E67+E68+E69+E70+E71)</f>
        <v>0</v>
      </c>
      <c r="F175" s="65" t="n">
        <f aca="false">IF(F$5="A",Inputs_Actuals!F92,F67+F68+F69+F70+F71)</f>
        <v>0</v>
      </c>
      <c r="G175" s="65" t="n">
        <f aca="false">IF(G$5="A",Inputs_Actuals!G92,G67+G68+G69+G70+G71)</f>
        <v>0</v>
      </c>
      <c r="H175" s="65" t="n">
        <f aca="false">IF(H$5="A",Inputs_Actuals!H92,H67+H68+H69+H70+H71)</f>
        <v>0</v>
      </c>
      <c r="I175" s="65" t="n">
        <f aca="false">IF(I$5="A",Inputs_Actuals!I92,I67+I68+I69+I70+I71)</f>
        <v>0</v>
      </c>
      <c r="J175" s="65" t="n">
        <f aca="false">IF(J$5="A",Inputs_Actuals!J92,J67+J68+J69+J70+J71)</f>
        <v>0</v>
      </c>
      <c r="K175" s="65" t="n">
        <f aca="false">IF(K$5="A",Inputs_Actuals!K92,K67+K68+K69+K70+K71)</f>
        <v>0</v>
      </c>
      <c r="L175" s="65" t="n">
        <f aca="false">IF(L$5="A",Inputs_Actuals!L92,L67+L68+L69+L70+L71)</f>
        <v>0</v>
      </c>
      <c r="M175" s="65" t="n">
        <f aca="false">IF(M$5="A",Inputs_Actuals!M92,M67+M68+M69+M70+M71)</f>
        <v>0</v>
      </c>
      <c r="N175" s="65" t="n">
        <f aca="false">IF(N$5="A",Inputs_Actuals!N92,N67+N68+N69+N70+N71)</f>
        <v>0</v>
      </c>
      <c r="O175" s="65" t="n">
        <f aca="false">IF(O$5="A",Inputs_Actuals!O92,O67+O68+O69+O70+O71)</f>
        <v>0</v>
      </c>
      <c r="P175" s="65" t="n">
        <f aca="false">IF(P$5="A",Inputs_Actuals!P92,P67+P68+P69+P70+P71)</f>
        <v>0</v>
      </c>
      <c r="Q175" s="65" t="n">
        <f aca="false">IF(Q$5="A",Inputs_Actuals!Q92,Q67+Q68+Q69+Q70+Q71)</f>
        <v>0</v>
      </c>
      <c r="R175" s="65" t="n">
        <f aca="false">IF(R$5="A",Inputs_Actuals!R92,R67+R68+R69+R70+R71)</f>
        <v>0</v>
      </c>
      <c r="S175" s="65" t="n">
        <f aca="false">IF(S$5="A",Inputs_Actuals!S92,S67+S68+S69+S70+S71)</f>
        <v>0</v>
      </c>
      <c r="T175" s="65" t="n">
        <f aca="false">IF(T$5="A",Inputs_Actuals!T92,T67+T68+T69+T70+T71)</f>
        <v>0</v>
      </c>
      <c r="U175" s="65" t="n">
        <f aca="false">IF(U$5="A",Inputs_Actuals!U92,U67+U68+U69+U70+U71)</f>
        <v>0</v>
      </c>
      <c r="V175" s="65" t="n">
        <f aca="false">IF(V$5="A",Inputs_Actuals!V92,V67+V68+V69+V70+V71)</f>
        <v>0</v>
      </c>
      <c r="W175" s="65" t="n">
        <f aca="false">IF(W$5="A",Inputs_Actuals!W92,W67+W68+W69+W70+W71)</f>
        <v>0</v>
      </c>
      <c r="X175" s="65" t="n">
        <f aca="false">IF(X$5="A",Inputs_Actuals!X92,X67+X68+X69+X70+X71)</f>
        <v>0</v>
      </c>
      <c r="Y175" s="65" t="n">
        <f aca="false">IF(Y$5="A",Inputs_Actuals!Y92,Y67+Y68+Y69+Y70+Y71)</f>
        <v>0</v>
      </c>
      <c r="Z175" s="65" t="n">
        <f aca="false">IF(Z$5="A",Inputs_Actuals!Z92,Z67+Z68+Z69+Z70+Z71)</f>
        <v>0</v>
      </c>
      <c r="AA175" s="65" t="n">
        <f aca="false">IF(AA$5="A",Inputs_Actuals!AA92,AA67+AA68+AA69+AA70+AA71)</f>
        <v>0</v>
      </c>
      <c r="AB175" s="65" t="n">
        <f aca="false">IF(AB$5="A",Inputs_Actuals!AB92,AB67+AB68+AB69+AB70+AB71)</f>
        <v>0</v>
      </c>
    </row>
    <row r="176" customFormat="false" ht="15" hidden="false" customHeight="false" outlineLevel="0" collapsed="false">
      <c r="A176" s="28" t="s">
        <v>1265</v>
      </c>
      <c r="B176" s="62"/>
      <c r="C176" s="64" t="n">
        <f aca="false">SUM(E176:P176)</f>
        <v>335374.776746051</v>
      </c>
      <c r="D176" s="64" t="n">
        <f aca="false">SUM(Q176:AB176)</f>
        <v>384936.892644337</v>
      </c>
      <c r="E176" s="65" t="n">
        <f aca="false">IF(E$5="A",Inputs_Actuals!E93,E93+E94+E95+E96+E97)</f>
        <v>26523.58</v>
      </c>
      <c r="F176" s="65" t="n">
        <f aca="false">IF(F$5="A",Inputs_Actuals!F93,F93+F94+F95+F96+F97)</f>
        <v>27503.35</v>
      </c>
      <c r="G176" s="65" t="n">
        <f aca="false">IF(G$5="A",Inputs_Actuals!G93,G93+G94+G95+G96+G97)</f>
        <v>27822.05</v>
      </c>
      <c r="H176" s="65" t="n">
        <f aca="false">IF(H$5="A",Inputs_Actuals!H93,H93+H94+H95+H96+H97)</f>
        <v>28599.6</v>
      </c>
      <c r="I176" s="65" t="n">
        <f aca="false">IF(I$5="A",Inputs_Actuals!I93,I93+I94+I95+I96+I97)</f>
        <v>27957.74</v>
      </c>
      <c r="J176" s="65" t="n">
        <f aca="false">IF(J$5="A",Inputs_Actuals!J93,J93+J94+J95+J96+J97)</f>
        <v>28480.84</v>
      </c>
      <c r="K176" s="65" t="n">
        <f aca="false">IF(K$5="A",Inputs_Actuals!K93,K93+K94+K95+K96+K97)</f>
        <v>28574.6</v>
      </c>
      <c r="L176" s="65" t="n">
        <f aca="false">IF(L$5="A",Inputs_Actuals!L93,L93+L94+L95+L96+L97)</f>
        <v>27930.34</v>
      </c>
      <c r="M176" s="65" t="n">
        <f aca="false">IF(M$5="A",Inputs_Actuals!M93,M93+M94+M95+M96+M97)</f>
        <v>27705.1278</v>
      </c>
      <c r="N176" s="65" t="n">
        <f aca="false">IF(N$5="A",Inputs_Actuals!N93,N93+N94+N95+N96+N97)</f>
        <v>28094.463735</v>
      </c>
      <c r="O176" s="65" t="n">
        <f aca="false">IF(O$5="A",Inputs_Actuals!O93,O93+O94+O95+O96+O97)</f>
        <v>28093.159403875</v>
      </c>
      <c r="P176" s="65" t="n">
        <f aca="false">IF(P$5="A",Inputs_Actuals!P93,P93+P94+P95+P96+P97)</f>
        <v>28089.925807176</v>
      </c>
      <c r="Q176" s="65" t="n">
        <f aca="false">IF(Q$5="A",Inputs_Actuals!Q93,Q93+Q94+Q95+Q96+Q97)</f>
        <v>31055.6576791592</v>
      </c>
      <c r="R176" s="65" t="n">
        <f aca="false">IF(R$5="A",Inputs_Actuals!R93,R93+R94+R95+R96+R97)</f>
        <v>31039.2049807202</v>
      </c>
      <c r="S176" s="65" t="n">
        <f aca="false">IF(S$5="A",Inputs_Actuals!S93,S93+S94+S95+S96+S97)</f>
        <v>31665.1166778343</v>
      </c>
      <c r="T176" s="65" t="n">
        <f aca="false">IF(T$5="A",Inputs_Actuals!T93,T93+T94+T95+T96+T97)</f>
        <v>31660.0378528454</v>
      </c>
      <c r="U176" s="65" t="n">
        <f aca="false">IF(U$5="A",Inputs_Actuals!U93,U93+U94+U95+U96+U97)</f>
        <v>31654.8642455777</v>
      </c>
      <c r="V176" s="65" t="n">
        <f aca="false">IF(V$5="A",Inputs_Actuals!V93,V93+V94+V95+V96+V97)</f>
        <v>32195.4683491798</v>
      </c>
      <c r="W176" s="65" t="n">
        <f aca="false">IF(W$5="A",Inputs_Actuals!W93,W93+W94+W95+W96+W97)</f>
        <v>32191.006428377</v>
      </c>
      <c r="X176" s="65" t="n">
        <f aca="false">IF(X$5="A",Inputs_Actuals!X93,X93+X94+X95+X96+X97)</f>
        <v>32186.5385768537</v>
      </c>
      <c r="Y176" s="65" t="n">
        <f aca="false">IF(Y$5="A",Inputs_Actuals!Y93,Y93+Y94+Y95+Y96+Y97)</f>
        <v>32828.8681916231</v>
      </c>
      <c r="Z176" s="65" t="n">
        <f aca="false">IF(Z$5="A",Inputs_Actuals!Z93,Z93+Z94+Z95+Z96+Z97)</f>
        <v>32823.5526769294</v>
      </c>
      <c r="AA176" s="65" t="n">
        <f aca="false">IF(AA$5="A",Inputs_Actuals!AA93,AA93+AA94+AA95+AA96+AA97)</f>
        <v>32818.2442260954</v>
      </c>
      <c r="AB176" s="65" t="n">
        <f aca="false">IF(AB$5="A",Inputs_Actuals!AB93,AB93+AB94+AB95+AB96+AB97)</f>
        <v>32818.3327591415</v>
      </c>
    </row>
    <row r="177" customFormat="false" ht="15" hidden="false" customHeight="false" outlineLevel="0" collapsed="false">
      <c r="A177" s="28" t="s">
        <v>1266</v>
      </c>
      <c r="B177" s="62"/>
      <c r="C177" s="64" t="n">
        <f aca="false">SUM(E177:P177)</f>
        <v>55500.3109597801</v>
      </c>
      <c r="D177" s="64" t="n">
        <f aca="false">SUM(Q177:AB177)</f>
        <v>63562.9968670314</v>
      </c>
      <c r="E177" s="65" t="n">
        <f aca="false">IF(E$5="A",Inputs_Actuals!E94,E145+E146+E147+E148+E149)</f>
        <v>4400</v>
      </c>
      <c r="F177" s="65" t="n">
        <f aca="false">IF(F$5="A",Inputs_Actuals!F94,F145+F146+F147+F148+F149)</f>
        <v>4510</v>
      </c>
      <c r="G177" s="65" t="n">
        <f aca="false">IF(G$5="A",Inputs_Actuals!G94,G145+G146+G147+G148+G149)</f>
        <v>4620</v>
      </c>
      <c r="H177" s="65" t="n">
        <f aca="false">IF(H$5="A",Inputs_Actuals!H94,H145+H146+H147+H148+H149)</f>
        <v>4730</v>
      </c>
      <c r="I177" s="65" t="n">
        <f aca="false">IF(I$5="A",Inputs_Actuals!I94,I145+I146+I147+I148+I149)</f>
        <v>4620</v>
      </c>
      <c r="J177" s="65" t="n">
        <f aca="false">IF(J$5="A",Inputs_Actuals!J94,J145+J146+J147+J148+J149)</f>
        <v>4730</v>
      </c>
      <c r="K177" s="65" t="n">
        <f aca="false">IF(K$5="A",Inputs_Actuals!K94,K145+K146+K147+K148+K149)</f>
        <v>4730</v>
      </c>
      <c r="L177" s="65" t="n">
        <f aca="false">IF(L$5="A",Inputs_Actuals!L94,L145+L146+L147+L148+L149)</f>
        <v>4620</v>
      </c>
      <c r="M177" s="65" t="n">
        <f aca="false">IF(M$5="A",Inputs_Actuals!M94,M145+M146+M147+M148+M149)</f>
        <v>4581.5</v>
      </c>
      <c r="N177" s="65" t="n">
        <f aca="false">IF(N$5="A",Inputs_Actuals!N94,N145+N146+N147+N148+N149)</f>
        <v>4653.32083333333</v>
      </c>
      <c r="O177" s="65" t="n">
        <f aca="false">IF(O$5="A",Inputs_Actuals!O94,O145+O146+O147+O148+O149)</f>
        <v>4653.04315972222</v>
      </c>
      <c r="P177" s="65" t="n">
        <f aca="false">IF(P$5="A",Inputs_Actuals!P94,P145+P146+P147+P148+P149)</f>
        <v>4652.44696672454</v>
      </c>
      <c r="Q177" s="65" t="n">
        <f aca="false">IF(Q$5="A",Inputs_Actuals!Q94,Q145+Q146+Q147+Q148+Q149)</f>
        <v>5107.01560516993</v>
      </c>
      <c r="R177" s="65" t="n">
        <f aca="false">IF(R$5="A",Inputs_Actuals!R94,R145+R146+R147+R148+R149)</f>
        <v>5104.20188544948</v>
      </c>
      <c r="S177" s="65" t="n">
        <f aca="false">IF(S$5="A",Inputs_Actuals!S94,S145+S146+S147+S148+S149)</f>
        <v>5214.1565209115</v>
      </c>
      <c r="T177" s="65" t="n">
        <f aca="false">IF(T$5="A",Inputs_Actuals!T94,T145+T146+T147+T148+T149)</f>
        <v>5213.26367994699</v>
      </c>
      <c r="U177" s="65" t="n">
        <f aca="false">IF(U$5="A",Inputs_Actuals!U94,U145+U146+U147+U148+U149)</f>
        <v>5212.35483165951</v>
      </c>
      <c r="V177" s="65" t="n">
        <f aca="false">IF(V$5="A",Inputs_Actuals!V94,V145+V146+V147+V148+V149)</f>
        <v>5325.11984573661</v>
      </c>
      <c r="W177" s="65" t="n">
        <f aca="false">IF(W$5="A",Inputs_Actuals!W94,W145+W146+W147+W148+W149)</f>
        <v>5324.1877110217</v>
      </c>
      <c r="X177" s="65" t="n">
        <f aca="false">IF(X$5="A",Inputs_Actuals!X94,X145+X146+X147+X148+X149)</f>
        <v>5323.25577036035</v>
      </c>
      <c r="Y177" s="65" t="n">
        <f aca="false">IF(Y$5="A",Inputs_Actuals!Y94,Y145+Y146+Y147+Y148+Y149)</f>
        <v>5436.02130432182</v>
      </c>
      <c r="Z177" s="65" t="n">
        <f aca="false">IF(Z$5="A",Inputs_Actuals!Z94,Z145+Z146+Z147+Z148+Z149)</f>
        <v>5435.08935771098</v>
      </c>
      <c r="AA177" s="65" t="n">
        <f aca="false">IF(AA$5="A",Inputs_Actuals!AA94,AA145+AA146+AA147+AA148+AA149)</f>
        <v>5434.15741114973</v>
      </c>
      <c r="AB177" s="65" t="n">
        <f aca="false">IF(AB$5="A",Inputs_Actuals!AB94,AB145+AB146+AB147+AB148+AB149)</f>
        <v>5434.17294359283</v>
      </c>
    </row>
    <row r="178" customFormat="false" ht="15" hidden="false" customHeight="false" outlineLevel="0" collapsed="false">
      <c r="A178" s="28" t="s">
        <v>1267</v>
      </c>
      <c r="B178" s="62"/>
      <c r="C178" s="64" t="n">
        <f aca="false">SUM(E178:P178)</f>
        <v>480251.503012059</v>
      </c>
      <c r="D178" s="64" t="n">
        <f aca="false">SUM(Q178:AB178)</f>
        <v>549025.632962363</v>
      </c>
      <c r="E178" s="65" t="n">
        <f aca="false">IF(E$5="A",Inputs_Actuals!E95,E106+E107+E108+E109+E110)</f>
        <v>38039.25</v>
      </c>
      <c r="F178" s="65" t="n">
        <f aca="false">IF(F$5="A",Inputs_Actuals!F95,F106+F107+F108+F109+F110)</f>
        <v>39126.57</v>
      </c>
      <c r="G178" s="65" t="n">
        <f aca="false">IF(G$5="A",Inputs_Actuals!G95,G106+G107+G108+G109+G110)</f>
        <v>39982.18</v>
      </c>
      <c r="H178" s="65" t="n">
        <f aca="false">IF(H$5="A",Inputs_Actuals!H95,H106+H107+H108+H109+H110)</f>
        <v>40903.99</v>
      </c>
      <c r="I178" s="65" t="n">
        <f aca="false">IF(I$5="A",Inputs_Actuals!I95,I106+I107+I108+I109+I110)</f>
        <v>40048.38</v>
      </c>
      <c r="J178" s="65" t="n">
        <f aca="false">IF(J$5="A",Inputs_Actuals!J95,J106+J107+J108+J109+J110)</f>
        <v>40903.99</v>
      </c>
      <c r="K178" s="65" t="n">
        <f aca="false">IF(K$5="A",Inputs_Actuals!K95,K106+K107+K108+K109+K110)</f>
        <v>40903.99</v>
      </c>
      <c r="L178" s="65" t="n">
        <f aca="false">IF(L$5="A",Inputs_Actuals!L95,L106+L107+L108+L109+L110)</f>
        <v>39982.18</v>
      </c>
      <c r="M178" s="65" t="n">
        <f aca="false">IF(M$5="A",Inputs_Actuals!M95,M106+M107+M108+M109+M110)</f>
        <v>39648.994546875</v>
      </c>
      <c r="N178" s="65" t="n">
        <f aca="false">IF(N$5="A",Inputs_Actuals!N95,N106+N107+N108+N109+N110)</f>
        <v>40240.3975089844</v>
      </c>
      <c r="O178" s="65" t="n">
        <f aca="false">IF(O$5="A",Inputs_Actuals!O95,O106+O107+O108+O109+O110)</f>
        <v>40238.2456912012</v>
      </c>
      <c r="P178" s="65" t="n">
        <f aca="false">IF(P$5="A",Inputs_Actuals!P95,P106+P107+P108+P109+P110)</f>
        <v>40233.3352649985</v>
      </c>
      <c r="Q178" s="65" t="n">
        <f aca="false">IF(Q$5="A",Inputs_Actuals!Q95,Q106+Q107+Q108+Q109+Q110)</f>
        <v>44197.4034511162</v>
      </c>
      <c r="R178" s="65" t="n">
        <f aca="false">IF(R$5="A",Inputs_Actuals!R95,R106+R107+R108+R109+R110)</f>
        <v>44173.4934737733</v>
      </c>
      <c r="S178" s="65" t="n">
        <f aca="false">IF(S$5="A",Inputs_Actuals!S95,S106+S107+S108+S109+S110)</f>
        <v>45096.4359610426</v>
      </c>
      <c r="T178" s="65" t="n">
        <f aca="false">IF(T$5="A",Inputs_Actuals!T95,T106+T107+T108+T109+T110)</f>
        <v>45088.9440234599</v>
      </c>
      <c r="U178" s="65" t="n">
        <f aca="false">IF(U$5="A",Inputs_Actuals!U95,U106+U107+U108+U109+U110)</f>
        <v>45081.3152688791</v>
      </c>
      <c r="V178" s="65" t="n">
        <f aca="false">IF(V$5="A",Inputs_Actuals!V95,V106+V107+V108+V109+V110)</f>
        <v>45959.9487954805</v>
      </c>
      <c r="W178" s="65" t="n">
        <f aca="false">IF(W$5="A",Inputs_Actuals!W95,W106+W107+W108+W109+W110)</f>
        <v>45952.6904223803</v>
      </c>
      <c r="X178" s="65" t="n">
        <f aca="false">IF(X$5="A",Inputs_Actuals!X95,X106+X107+X108+X109+X110)</f>
        <v>45945.4289627678</v>
      </c>
      <c r="Y178" s="65" t="n">
        <f aca="false">IF(Y$5="A",Inputs_Actuals!Y95,Y106+Y107+Y108+Y109+Y110)</f>
        <v>46892.2451988738</v>
      </c>
      <c r="Z178" s="65" t="n">
        <f aca="false">IF(Z$5="A",Inputs_Actuals!Z95,Z106+Z107+Z108+Z109+Z110)</f>
        <v>46884.4155757363</v>
      </c>
      <c r="AA178" s="65" t="n">
        <f aca="false">IF(AA$5="A",Inputs_Actuals!AA95,AA106+AA107+AA108+AA109+AA110)</f>
        <v>46876.5906872949</v>
      </c>
      <c r="AB178" s="65" t="n">
        <f aca="false">IF(AB$5="A",Inputs_Actuals!AB95,AB106+AB107+AB108+AB109+AB110)</f>
        <v>46876.7211415581</v>
      </c>
    </row>
    <row r="179" customFormat="false" ht="15" hidden="false" customHeight="false" outlineLevel="0" collapsed="false">
      <c r="A179" s="28" t="s">
        <v>1268</v>
      </c>
      <c r="B179" s="62"/>
      <c r="C179" s="64" t="n">
        <f aca="false">SUM(E179:P179)</f>
        <v>223851.85511019</v>
      </c>
      <c r="D179" s="64" t="n">
        <f aca="false">SUM(Q179:AB179)</f>
        <v>256809.74025173</v>
      </c>
      <c r="E179" s="65" t="n">
        <f aca="false">IF(E$5="A",Inputs_Actuals!E96,E119+E120+E121+E122+E123)</f>
        <v>17712.35</v>
      </c>
      <c r="F179" s="65" t="n">
        <f aca="false">IF(F$5="A",Inputs_Actuals!F96,F119+F120+F121+F122+F123)</f>
        <v>18290.86</v>
      </c>
      <c r="G179" s="65" t="n">
        <f aca="false">IF(G$5="A",Inputs_Actuals!G96,G119+G120+G121+G122+G123)</f>
        <v>18638.74</v>
      </c>
      <c r="H179" s="65" t="n">
        <f aca="false">IF(H$5="A",Inputs_Actuals!H96,H119+H120+H121+H122+H123)</f>
        <v>19052.51</v>
      </c>
      <c r="I179" s="65" t="n">
        <f aca="false">IF(I$5="A",Inputs_Actuals!I96,I119+I120+I121+I122+I123)</f>
        <v>18704.63</v>
      </c>
      <c r="J179" s="65" t="n">
        <f aca="false">IF(J$5="A",Inputs_Actuals!J96,J119+J120+J121+J122+J123)</f>
        <v>19052.51</v>
      </c>
      <c r="K179" s="65" t="n">
        <f aca="false">IF(K$5="A",Inputs_Actuals!K96,K119+K120+K121+K122+K123)</f>
        <v>19052.51</v>
      </c>
      <c r="L179" s="65" t="n">
        <f aca="false">IF(L$5="A",Inputs_Actuals!L96,L119+L120+L121+L122+L123)</f>
        <v>18638.74</v>
      </c>
      <c r="M179" s="65" t="n">
        <f aca="false">IF(M$5="A",Inputs_Actuals!M96,M119+M120+M121+M122+M123)</f>
        <v>18483.416175</v>
      </c>
      <c r="N179" s="65" t="n">
        <f aca="false">IF(N$5="A",Inputs_Actuals!N96,N119+N120+N121+N122+N123)</f>
        <v>18743.162206875</v>
      </c>
      <c r="O179" s="65" t="n">
        <f aca="false">IF(O$5="A",Inputs_Actuals!O96,O119+O120+O121+O122+O123)</f>
        <v>18742.2920134844</v>
      </c>
      <c r="P179" s="65" t="n">
        <f aca="false">IF(P$5="A",Inputs_Actuals!P96,P119+P120+P121+P122+P123)</f>
        <v>18740.1347148303</v>
      </c>
      <c r="Q179" s="65" t="n">
        <f aca="false">IF(Q$5="A",Inputs_Actuals!Q96,Q119+Q120+Q121+Q122+Q123)</f>
        <v>20718.7048341447</v>
      </c>
      <c r="R179" s="65" t="n">
        <f aca="false">IF(R$5="A",Inputs_Actuals!R96,R119+R120+R121+R122+R123)</f>
        <v>20707.7284369677</v>
      </c>
      <c r="S179" s="65" t="n">
        <f aca="false">IF(S$5="A",Inputs_Actuals!S96,S119+S120+S121+S122+S123)</f>
        <v>21125.3051894074</v>
      </c>
      <c r="T179" s="65" t="n">
        <f aca="false">IF(T$5="A",Inputs_Actuals!T96,T119+T120+T121+T122+T123)</f>
        <v>21121.9168531135</v>
      </c>
      <c r="U179" s="65" t="n">
        <f aca="false">IF(U$5="A",Inputs_Actuals!U96,U119+U120+U121+U122+U123)</f>
        <v>21118.465282979</v>
      </c>
      <c r="V179" s="65" t="n">
        <f aca="false">IF(V$5="A",Inputs_Actuals!V96,V119+V120+V121+V122+V123)</f>
        <v>21479.1324488659</v>
      </c>
      <c r="W179" s="65" t="n">
        <f aca="false">IF(W$5="A",Inputs_Actuals!W96,W119+W120+W121+W122+W123)</f>
        <v>21476.1556522346</v>
      </c>
      <c r="X179" s="65" t="n">
        <f aca="false">IF(X$5="A",Inputs_Actuals!X96,X119+X120+X121+X122+X123)</f>
        <v>21473.1748991575</v>
      </c>
      <c r="Y179" s="65" t="n">
        <f aca="false">IF(Y$5="A",Inputs_Actuals!Y96,Y119+Y120+Y121+Y122+Y123)</f>
        <v>21901.7048454051</v>
      </c>
      <c r="Z179" s="65" t="n">
        <f aca="false">IF(Z$5="A",Inputs_Actuals!Z96,Z119+Z120+Z121+Z122+Z123)</f>
        <v>21898.1586021286</v>
      </c>
      <c r="AA179" s="65" t="n">
        <f aca="false">IF(AA$5="A",Inputs_Actuals!AA96,AA119+AA120+AA121+AA122+AA123)</f>
        <v>21894.6170712706</v>
      </c>
      <c r="AB179" s="65" t="n">
        <f aca="false">IF(AB$5="A",Inputs_Actuals!AB96,AB119+AB120+AB121+AB122+AB123)</f>
        <v>21894.676136055</v>
      </c>
    </row>
    <row r="180" customFormat="false" ht="15" hidden="false" customHeight="false" outlineLevel="0" collapsed="false">
      <c r="A180" s="28" t="s">
        <v>1269</v>
      </c>
      <c r="B180" s="62"/>
      <c r="C180" s="64" t="n">
        <f aca="false">SUM(E180:P180)</f>
        <v>358913.312232906</v>
      </c>
      <c r="D180" s="64" t="n">
        <f aca="false">SUM(Q180:AB180)</f>
        <v>408459.582372905</v>
      </c>
      <c r="E180" s="65" t="n">
        <f aca="false">IF(E$5="A",Inputs_Actuals!E97,E132+E133+E134+E135+E136)</f>
        <v>28420.42</v>
      </c>
      <c r="F180" s="65" t="n">
        <f aca="false">IF(F$5="A",Inputs_Actuals!F97,F132+F133+F134+F135+F136)</f>
        <v>29363.11</v>
      </c>
      <c r="G180" s="65" t="n">
        <f aca="false">IF(G$5="A",Inputs_Actuals!G97,G132+G133+G134+G135+G136)</f>
        <v>29890.68</v>
      </c>
      <c r="H180" s="65" t="n">
        <f aca="false">IF(H$5="A",Inputs_Actuals!H97,H132+H133+H134+H135+H136)</f>
        <v>30532.63</v>
      </c>
      <c r="I180" s="65" t="n">
        <f aca="false">IF(I$5="A",Inputs_Actuals!I97,I132+I133+I134+I135+I136)</f>
        <v>30005.07</v>
      </c>
      <c r="J180" s="65" t="n">
        <f aca="false">IF(J$5="A",Inputs_Actuals!J97,J132+J133+J134+J135+J136)</f>
        <v>30532.63</v>
      </c>
      <c r="K180" s="65" t="n">
        <f aca="false">IF(K$5="A",Inputs_Actuals!K97,K132+K133+K134+K135+K136)</f>
        <v>30532.63</v>
      </c>
      <c r="L180" s="65" t="n">
        <f aca="false">IF(L$5="A",Inputs_Actuals!L97,L132+L133+L134+L135+L136)</f>
        <v>29890.68</v>
      </c>
      <c r="M180" s="65" t="n">
        <f aca="false">IF(M$5="A",Inputs_Actuals!M97,M132+M133+M134+M135+M136)</f>
        <v>29641.5880646667</v>
      </c>
      <c r="N180" s="65" t="n">
        <f aca="false">IF(N$5="A",Inputs_Actuals!N97,N132+N133+N134+N135+N136)</f>
        <v>30036.5286907944</v>
      </c>
      <c r="O180" s="65" t="n">
        <f aca="false">IF(O$5="A",Inputs_Actuals!O97,O132+O133+O134+O135+O136)</f>
        <v>30035.3132603712</v>
      </c>
      <c r="P180" s="65" t="n">
        <f aca="false">IF(P$5="A",Inputs_Actuals!P97,P132+P133+P134+P135+P136)</f>
        <v>30032.0322170736</v>
      </c>
      <c r="Q180" s="65" t="n">
        <f aca="false">IF(Q$5="A",Inputs_Actuals!Q97,Q132+Q133+Q134+Q135+Q136)</f>
        <v>32993.4545305684</v>
      </c>
      <c r="R180" s="65" t="n">
        <f aca="false">IF(R$5="A",Inputs_Actuals!R97,R132+R133+R134+R135+R136)</f>
        <v>32976.3329403662</v>
      </c>
      <c r="S180" s="65" t="n">
        <f aca="false">IF(S$5="A",Inputs_Actuals!S97,S132+S133+S134+S135+S136)</f>
        <v>33620.5956752422</v>
      </c>
      <c r="T180" s="65" t="n">
        <f aca="false">IF(T$5="A",Inputs_Actuals!T97,T132+T133+T134+T135+T136)</f>
        <v>33615.3694990366</v>
      </c>
      <c r="U180" s="65" t="n">
        <f aca="false">IF(U$5="A",Inputs_Actuals!U97,U132+U133+U134+U135+U136)</f>
        <v>33610.044194381</v>
      </c>
      <c r="V180" s="65" t="n">
        <f aca="false">IF(V$5="A",Inputs_Actuals!V97,V132+V133+V134+V135+V136)</f>
        <v>34153.5770125549</v>
      </c>
      <c r="W180" s="65" t="n">
        <f aca="false">IF(W$5="A",Inputs_Actuals!W97,W132+W133+W134+W135+W136)</f>
        <v>34149.0919499422</v>
      </c>
      <c r="X180" s="65" t="n">
        <f aca="false">IF(X$5="A",Inputs_Actuals!X97,X132+X133+X134+X135+X136)</f>
        <v>34144.5998853125</v>
      </c>
      <c r="Y180" s="65" t="n">
        <f aca="false">IF(Y$5="A",Inputs_Actuals!Y97,Y132+Y133+Y134+Y135+Y136)</f>
        <v>34805.9445047062</v>
      </c>
      <c r="Z180" s="65" t="n">
        <f aca="false">IF(Z$5="A",Inputs_Actuals!Z97,Z132+Z133+Z134+Z135+Z136)</f>
        <v>34800.4707334165</v>
      </c>
      <c r="AA180" s="65" t="n">
        <f aca="false">IF(AA$5="A",Inputs_Actuals!AA97,AA132+AA133+AA134+AA135+AA136)</f>
        <v>34795.0051430156</v>
      </c>
      <c r="AB180" s="65" t="n">
        <f aca="false">IF(AB$5="A",Inputs_Actuals!AB97,AB132+AB133+AB134+AB135+AB136)</f>
        <v>34795.0963043631</v>
      </c>
    </row>
    <row r="181" customFormat="false" ht="15" hidden="false" customHeight="false" outlineLevel="0" collapsed="false">
      <c r="A181" s="28" t="s">
        <v>1270</v>
      </c>
      <c r="B181" s="62"/>
      <c r="C181" s="64" t="n">
        <f aca="false">SUM(E181:P181)</f>
        <v>2370074.29558886</v>
      </c>
      <c r="D181" s="64" t="n">
        <f aca="false">SUM(Q181:AB181)</f>
        <v>2714345.09185527</v>
      </c>
      <c r="E181" s="65" t="n">
        <f aca="false">IF(E$5="A",Inputs_Actuals!E98,E173-E178-E179-E180)</f>
        <v>187184.77</v>
      </c>
      <c r="F181" s="65" t="n">
        <f aca="false">IF(F$5="A",Inputs_Actuals!F98,F173-F178-F179-F180)</f>
        <v>192863.56</v>
      </c>
      <c r="G181" s="65" t="n">
        <f aca="false">IF(G$5="A",Inputs_Actuals!G98,G173-G178-G179-G180)</f>
        <v>196482.62</v>
      </c>
      <c r="H181" s="65" t="n">
        <f aca="false">IF(H$5="A",Inputs_Actuals!H98,H173-H178-H179-H180)</f>
        <v>202640.51</v>
      </c>
      <c r="I181" s="65" t="n">
        <f aca="false">IF(I$5="A",Inputs_Actuals!I98,I173-I178-I179-I180)</f>
        <v>197707.65</v>
      </c>
      <c r="J181" s="65" t="n">
        <f aca="false">IF(J$5="A",Inputs_Actuals!J98,J173-J178-J179-J180)</f>
        <v>201861.42</v>
      </c>
      <c r="K181" s="65" t="n">
        <f aca="false">IF(K$5="A",Inputs_Actuals!K98,K173-K178-K179-K180)</f>
        <v>202088.33</v>
      </c>
      <c r="L181" s="65" t="n">
        <f aca="false">IF(L$5="A",Inputs_Actuals!L98,L173-L178-L179-L180)</f>
        <v>198233.75</v>
      </c>
      <c r="M181" s="65" t="n">
        <f aca="false">IF(M$5="A",Inputs_Actuals!M98,M173-M178-M179-M180)</f>
        <v>195594.751213458</v>
      </c>
      <c r="N181" s="65" t="n">
        <f aca="false">IF(N$5="A",Inputs_Actuals!N98,N173-N178-N179-N180)</f>
        <v>198487.255343346</v>
      </c>
      <c r="O181" s="65" t="n">
        <f aca="false">IF(O$5="A",Inputs_Actuals!O98,O173-O178-O179-O180)</f>
        <v>198476.848253693</v>
      </c>
      <c r="P181" s="65" t="n">
        <f aca="false">IF(P$5="A",Inputs_Actuals!P98,P173-P178-P179-P180)</f>
        <v>198452.830778358</v>
      </c>
      <c r="Q181" s="65" t="n">
        <f aca="false">IF(Q$5="A",Inputs_Actuals!Q98,Q173-Q178-Q179-Q180)</f>
        <v>218601.274157839</v>
      </c>
      <c r="R181" s="65" t="n">
        <f aca="false">IF(R$5="A",Inputs_Actuals!R98,R173-R178-R179-R180)</f>
        <v>218483.337482741</v>
      </c>
      <c r="S181" s="65" t="n">
        <f aca="false">IF(S$5="A",Inputs_Actuals!S98,S173-S178-S179-S180)</f>
        <v>223024.732096745</v>
      </c>
      <c r="T181" s="65" t="n">
        <f aca="false">IF(T$5="A",Inputs_Actuals!T98,T173-T178-T179-T180)</f>
        <v>222987.869947254</v>
      </c>
      <c r="U181" s="65" t="n">
        <f aca="false">IF(U$5="A",Inputs_Actuals!U98,U173-U178-U179-U180)</f>
        <v>222950.332176717</v>
      </c>
      <c r="V181" s="65" t="n">
        <f aca="false">IF(V$5="A",Inputs_Actuals!V98,V173-V178-V179-V180)</f>
        <v>227176.722932717</v>
      </c>
      <c r="W181" s="65" t="n">
        <f aca="false">IF(W$5="A",Inputs_Actuals!W98,W173-W178-W179-W180)</f>
        <v>227141.815824505</v>
      </c>
      <c r="X181" s="65" t="n">
        <f aca="false">IF(X$5="A",Inputs_Actuals!X98,X173-X178-X179-X180)</f>
        <v>227106.886794107</v>
      </c>
      <c r="Y181" s="65" t="n">
        <f aca="false">IF(Y$5="A",Inputs_Actuals!Y98,Y173-Y178-Y179-Y180)</f>
        <v>231766.023414428</v>
      </c>
      <c r="Z181" s="65" t="n">
        <f aca="false">IF(Z$5="A",Inputs_Actuals!Z98,Z173-Z178-Z179-Z180)</f>
        <v>231727.488351179</v>
      </c>
      <c r="AA181" s="65" t="n">
        <f aca="false">IF(AA$5="A",Inputs_Actuals!AA98,AA173-AA178-AA179-AA180)</f>
        <v>231688.983338203</v>
      </c>
      <c r="AB181" s="65" t="n">
        <f aca="false">IF(AB$5="A",Inputs_Actuals!AB98,AB173-AB178-AB179-AB180)</f>
        <v>231689.625338838</v>
      </c>
    </row>
    <row r="182" customFormat="false" ht="15" hidden="false" customHeight="false" outlineLevel="0" collapsed="false">
      <c r="A182" s="28" t="s">
        <v>1271</v>
      </c>
      <c r="B182" s="62"/>
      <c r="C182" s="67" t="n">
        <f aca="false">P182</f>
        <v>12.6825627929688</v>
      </c>
      <c r="D182" s="67" t="n">
        <f aca="false">AB182</f>
        <v>14.6341463431373</v>
      </c>
      <c r="E182" s="80" t="n">
        <f aca="false">E14+E15</f>
        <v>10</v>
      </c>
      <c r="F182" s="80" t="n">
        <f aca="false">F14+F15</f>
        <v>10</v>
      </c>
      <c r="G182" s="80" t="n">
        <f aca="false">G14+G15</f>
        <v>11</v>
      </c>
      <c r="H182" s="80" t="n">
        <f aca="false">H14+H15</f>
        <v>11</v>
      </c>
      <c r="I182" s="80" t="n">
        <f aca="false">I14+I15</f>
        <v>12</v>
      </c>
      <c r="J182" s="80" t="n">
        <f aca="false">J14+J15</f>
        <v>12</v>
      </c>
      <c r="K182" s="80" t="n">
        <f aca="false">K14+K15</f>
        <v>12</v>
      </c>
      <c r="L182" s="80" t="n">
        <f aca="false">L14+L15</f>
        <v>12</v>
      </c>
      <c r="M182" s="80" t="n">
        <f aca="false">M14+M15</f>
        <v>11.85</v>
      </c>
      <c r="N182" s="80" t="n">
        <f aca="false">N14+N15</f>
        <v>12.701875</v>
      </c>
      <c r="O182" s="80" t="n">
        <f aca="false">O14+O15</f>
        <v>12.6931015625</v>
      </c>
      <c r="P182" s="80" t="n">
        <f aca="false">P14+P15</f>
        <v>12.6825627929688</v>
      </c>
      <c r="Q182" s="80" t="n">
        <f aca="false">Q14+Q15</f>
        <v>13.6828041955566</v>
      </c>
      <c r="R182" s="80" t="n">
        <f aca="false">R14+R15</f>
        <v>13.6704329126434</v>
      </c>
      <c r="S182" s="80" t="n">
        <f aca="false">S14+S15</f>
        <v>13.6580845361475</v>
      </c>
      <c r="T182" s="80" t="n">
        <f aca="false">T14+T15</f>
        <v>14.6583935318901</v>
      </c>
      <c r="U182" s="80" t="n">
        <f aca="false">U14+U15</f>
        <v>14.6460440241495</v>
      </c>
      <c r="V182" s="80" t="n">
        <f aca="false">V14+V15</f>
        <v>14.6336945305495</v>
      </c>
      <c r="W182" s="80" t="n">
        <f aca="false">W14+W15</f>
        <v>14.6340032680663</v>
      </c>
      <c r="X182" s="80" t="n">
        <f aca="false">X14+X15</f>
        <v>14.6341537775173</v>
      </c>
      <c r="Y182" s="80" t="n">
        <f aca="false">Y14+Y15</f>
        <v>14.6341480369302</v>
      </c>
      <c r="Z182" s="80" t="n">
        <f aca="false">Z14+Z15</f>
        <v>14.6341462273194</v>
      </c>
      <c r="AA182" s="80" t="n">
        <f aca="false">AA14+AA15</f>
        <v>14.6341463216969</v>
      </c>
      <c r="AB182" s="80" t="n">
        <f aca="false">AB14+AB15</f>
        <v>14.6341463431373</v>
      </c>
    </row>
    <row r="183" customFormat="false" ht="15" hidden="false" customHeight="false" outlineLevel="0" collapsed="false">
      <c r="A183" s="28" t="s">
        <v>1272</v>
      </c>
      <c r="B183" s="62"/>
      <c r="C183" s="64" t="n">
        <f aca="false">SUM(E183:P183)</f>
        <v>624710.61097168</v>
      </c>
      <c r="D183" s="64" t="n">
        <f aca="false">SUM(Q183:AB183)</f>
        <v>795188.899554433</v>
      </c>
      <c r="E183" s="65" t="n">
        <f aca="false">IF(E$5="A",Inputs_Actuals!E99,E46+E47)</f>
        <v>44731.88</v>
      </c>
      <c r="F183" s="65" t="n">
        <f aca="false">IF(F$5="A",Inputs_Actuals!F99,F46+F47)</f>
        <v>44644.94</v>
      </c>
      <c r="G183" s="65" t="n">
        <f aca="false">IF(G$5="A",Inputs_Actuals!G99,G46+G47)</f>
        <v>48929.27</v>
      </c>
      <c r="H183" s="65" t="n">
        <f aca="false">IF(H$5="A",Inputs_Actuals!H99,H46+H47)</f>
        <v>49028.66</v>
      </c>
      <c r="I183" s="65" t="n">
        <f aca="false">IF(I$5="A",Inputs_Actuals!I99,I46+I47)</f>
        <v>53697.65</v>
      </c>
      <c r="J183" s="65" t="n">
        <f aca="false">IF(J$5="A",Inputs_Actuals!J99,J46+J47)</f>
        <v>53568.65</v>
      </c>
      <c r="K183" s="65" t="n">
        <f aca="false">IF(K$5="A",Inputs_Actuals!K99,K46+K47)</f>
        <v>53627.56</v>
      </c>
      <c r="L183" s="65" t="n">
        <f aca="false">IF(L$5="A",Inputs_Actuals!L99,L46+L47)</f>
        <v>53606.43</v>
      </c>
      <c r="M183" s="65" t="n">
        <f aca="false">IF(M$5="A",Inputs_Actuals!M99,M46+M47)</f>
        <v>52995.8333333333</v>
      </c>
      <c r="N183" s="65" t="n">
        <f aca="false">IF(N$5="A",Inputs_Actuals!N99,N46+N47)</f>
        <v>56666.71875</v>
      </c>
      <c r="O183" s="65" t="n">
        <f aca="false">IF(O$5="A",Inputs_Actuals!O99,O46+O47)</f>
        <v>56629.2180989583</v>
      </c>
      <c r="P183" s="65" t="n">
        <f aca="false">IF(P$5="A",Inputs_Actuals!P99,P46+P47)</f>
        <v>56583.800789388</v>
      </c>
      <c r="Q183" s="65" t="n">
        <f aca="false">IF(Q$5="A",Inputs_Actuals!Q99,Q46+Q47)</f>
        <v>63089.0490484792</v>
      </c>
      <c r="R183" s="65" t="n">
        <f aca="false">IF(R$5="A",Inputs_Actuals!R99,R46+R47)</f>
        <v>63029.5371183973</v>
      </c>
      <c r="S183" s="65" t="n">
        <f aca="false">IF(S$5="A",Inputs_Actuals!S99,S46+S47)</f>
        <v>62970.1843395807</v>
      </c>
      <c r="T183" s="65" t="n">
        <f aca="false">IF(T$5="A",Inputs_Actuals!T99,T46+T47)</f>
        <v>67435.0034817753</v>
      </c>
      <c r="U183" s="65" t="n">
        <f aca="false">IF(U$5="A",Inputs_Actuals!U99,U46+U47)</f>
        <v>67379.935152233</v>
      </c>
      <c r="V183" s="65" t="n">
        <f aca="false">IF(V$5="A",Inputs_Actuals!V99,V46+V47)</f>
        <v>67324.8132670749</v>
      </c>
      <c r="W183" s="65" t="n">
        <f aca="false">IF(W$5="A",Inputs_Actuals!W99,W46+W47)</f>
        <v>67326.1906447587</v>
      </c>
      <c r="X183" s="65" t="n">
        <f aca="false">IF(X$5="A",Inputs_Actuals!X99,X46+X47)</f>
        <v>67326.8624511021</v>
      </c>
      <c r="Y183" s="65" t="n">
        <f aca="false">IF(Y$5="A",Inputs_Actuals!Y99,Y46+Y47)</f>
        <v>67326.8368363017</v>
      </c>
      <c r="Z183" s="65" t="n">
        <f aca="false">IF(Z$5="A",Inputs_Actuals!Z99,Z46+Z47)</f>
        <v>67326.8287589075</v>
      </c>
      <c r="AA183" s="65" t="n">
        <f aca="false">IF(AA$5="A",Inputs_Actuals!AA99,AA46+AA47)</f>
        <v>67326.8291800599</v>
      </c>
      <c r="AB183" s="65" t="n">
        <f aca="false">IF(AB$5="A",Inputs_Actuals!AB99,AB46+AB47)</f>
        <v>67326.8292757629</v>
      </c>
    </row>
    <row r="184" customFormat="false" ht="15" hidden="false" customHeight="false" outlineLevel="0" collapsed="false">
      <c r="A184" s="28" t="s">
        <v>1273</v>
      </c>
      <c r="B184" s="62"/>
      <c r="C184" s="64" t="n">
        <f aca="false">SUM(E184:P184)</f>
        <v>223718.452930391</v>
      </c>
      <c r="D184" s="64" t="n">
        <f aca="false">SUM(Q184:AB184)</f>
        <v>284246.315949851</v>
      </c>
      <c r="E184" s="65" t="n">
        <f aca="false">IF(E$5="A",Inputs_Actuals!E100,E85+E86)</f>
        <v>16001.64</v>
      </c>
      <c r="F184" s="65" t="n">
        <f aca="false">IF(F$5="A",Inputs_Actuals!F100,F85+F86)</f>
        <v>16049.25</v>
      </c>
      <c r="G184" s="65" t="n">
        <f aca="false">IF(G$5="A",Inputs_Actuals!G100,G85+G86)</f>
        <v>17545.79</v>
      </c>
      <c r="H184" s="65" t="n">
        <f aca="false">IF(H$5="A",Inputs_Actuals!H100,H85+H86)</f>
        <v>17665.12</v>
      </c>
      <c r="I184" s="65" t="n">
        <f aca="false">IF(I$5="A",Inputs_Actuals!I100,I85+I86)</f>
        <v>19286.37</v>
      </c>
      <c r="J184" s="65" t="n">
        <f aca="false">IF(J$5="A",Inputs_Actuals!J100,J85+J86)</f>
        <v>19168.16</v>
      </c>
      <c r="K184" s="65" t="n">
        <f aca="false">IF(K$5="A",Inputs_Actuals!K100,K85+K86)</f>
        <v>19180.91</v>
      </c>
      <c r="L184" s="65" t="n">
        <f aca="false">IF(L$5="A",Inputs_Actuals!L100,L85+L86)</f>
        <v>19215.38</v>
      </c>
      <c r="M184" s="65" t="n">
        <f aca="false">IF(M$5="A",Inputs_Actuals!M100,M85+M86)</f>
        <v>18929.864763216</v>
      </c>
      <c r="N184" s="65" t="n">
        <f aca="false">IF(N$5="A",Inputs_Actuals!N100,N85+N86)</f>
        <v>20239.6423840222</v>
      </c>
      <c r="O184" s="65" t="n">
        <f aca="false">IF(O$5="A",Inputs_Actuals!O100,O85+O86)</f>
        <v>20226.2653955284</v>
      </c>
      <c r="P184" s="65" t="n">
        <f aca="false">IF(P$5="A",Inputs_Actuals!P100,P85+P86)</f>
        <v>20210.0603876245</v>
      </c>
      <c r="Q184" s="65" t="n">
        <f aca="false">IF(Q$5="A",Inputs_Actuals!Q100,Q85+Q86)</f>
        <v>22552.3349702816</v>
      </c>
      <c r="R184" s="65" t="n">
        <f aca="false">IF(R$5="A",Inputs_Actuals!R100,R85+R86)</f>
        <v>22531.0457882579</v>
      </c>
      <c r="S184" s="65" t="n">
        <f aca="false">IF(S$5="A",Inputs_Actuals!S100,S85+S86)</f>
        <v>22509.8138348593</v>
      </c>
      <c r="T184" s="65" t="n">
        <f aca="false">IF(T$5="A",Inputs_Actuals!T100,T85+T86)</f>
        <v>24104.9167720269</v>
      </c>
      <c r="U184" s="65" t="n">
        <f aca="false">IF(U$5="A",Inputs_Actuals!U100,U85+U86)</f>
        <v>24085.2433847298</v>
      </c>
      <c r="V184" s="65" t="n">
        <f aca="false">IF(V$5="A",Inputs_Actuals!V100,V85+V86)</f>
        <v>24065.5505153564</v>
      </c>
      <c r="W184" s="65" t="n">
        <f aca="false">IF(W$5="A",Inputs_Actuals!W100,W85+W86)</f>
        <v>24066.0425935648</v>
      </c>
      <c r="X184" s="65" t="n">
        <f aca="false">IF(X$5="A",Inputs_Actuals!X100,X85+X86)</f>
        <v>24066.2826034543</v>
      </c>
      <c r="Y184" s="65" t="n">
        <f aca="false">IF(Y$5="A",Inputs_Actuals!Y100,Y85+Y86)</f>
        <v>24066.2734523531</v>
      </c>
      <c r="Z184" s="65" t="n">
        <f aca="false">IF(Z$5="A",Inputs_Actuals!Z100,Z85+Z86)</f>
        <v>24066.2705666182</v>
      </c>
      <c r="AA184" s="65" t="n">
        <f aca="false">IF(AA$5="A",Inputs_Actuals!AA100,AA85+AA86)</f>
        <v>24066.2707170787</v>
      </c>
      <c r="AB184" s="65" t="n">
        <f aca="false">IF(AB$5="A",Inputs_Actuals!AB100,AB85+AB86)</f>
        <v>24066.2707512696</v>
      </c>
    </row>
    <row r="185" customFormat="false" ht="15" hidden="false" customHeight="false" outlineLevel="0" collapsed="false">
      <c r="A185" s="28" t="s">
        <v>1274</v>
      </c>
      <c r="B185" s="62"/>
      <c r="C185" s="64" t="n">
        <f aca="false">SUM(E185:P185)</f>
        <v>18608.7746587044</v>
      </c>
      <c r="D185" s="64" t="n">
        <f aca="false">SUM(Q185:AB185)</f>
        <v>23442.5698926935</v>
      </c>
      <c r="E185" s="65" t="n">
        <f aca="false">IF(E$5="A",Inputs_Actuals!E101,E72+E73)</f>
        <v>1274.26</v>
      </c>
      <c r="F185" s="65" t="n">
        <f aca="false">IF(F$5="A",Inputs_Actuals!F101,F72+F73)</f>
        <v>1274.26</v>
      </c>
      <c r="G185" s="65" t="n">
        <f aca="false">IF(G$5="A",Inputs_Actuals!G101,G72+G73)</f>
        <v>1408.19</v>
      </c>
      <c r="H185" s="65" t="n">
        <f aca="false">IF(H$5="A",Inputs_Actuals!H101,H72+H73)</f>
        <v>1408.19</v>
      </c>
      <c r="I185" s="65" t="n">
        <f aca="false">IF(I$5="A",Inputs_Actuals!I101,I72+I73)</f>
        <v>1525.87</v>
      </c>
      <c r="J185" s="65" t="n">
        <f aca="false">IF(J$5="A",Inputs_Actuals!J101,J72+J73)</f>
        <v>1633.2</v>
      </c>
      <c r="K185" s="65" t="n">
        <f aca="false">IF(K$5="A",Inputs_Actuals!K101,K72+K73)</f>
        <v>1633.2</v>
      </c>
      <c r="L185" s="65" t="n">
        <f aca="false">IF(L$5="A",Inputs_Actuals!L101,L72+L73)</f>
        <v>1633.2</v>
      </c>
      <c r="M185" s="65" t="n">
        <f aca="false">IF(M$5="A",Inputs_Actuals!M101,M72+M73)</f>
        <v>1612.78502845066</v>
      </c>
      <c r="N185" s="65" t="n">
        <f aca="false">IF(N$5="A",Inputs_Actuals!N101,N72+N73)</f>
        <v>1736.57845191533</v>
      </c>
      <c r="O185" s="65" t="n">
        <f aca="false">IF(O$5="A",Inputs_Actuals!O101,O72+O73)</f>
        <v>1735.28622162653</v>
      </c>
      <c r="P185" s="65" t="n">
        <f aca="false">IF(P$5="A",Inputs_Actuals!P101,P72+P73)</f>
        <v>1733.75495671183</v>
      </c>
      <c r="Q185" s="65" t="n">
        <f aca="false">IF(Q$5="A",Inputs_Actuals!Q101,Q72+Q73)</f>
        <v>1851.10344110996</v>
      </c>
      <c r="R185" s="65" t="n">
        <f aca="false">IF(R$5="A",Inputs_Actuals!R101,R72+R73)</f>
        <v>1849.55995510741</v>
      </c>
      <c r="S185" s="65" t="n">
        <f aca="false">IF(S$5="A",Inputs_Actuals!S101,S72+S73)</f>
        <v>1848.01674653961</v>
      </c>
      <c r="T185" s="65" t="n">
        <f aca="false">IF(T$5="A",Inputs_Actuals!T101,T72+T73)</f>
        <v>1991.11587391358</v>
      </c>
      <c r="U185" s="65" t="n">
        <f aca="false">IF(U$5="A",Inputs_Actuals!U101,U72+U73)</f>
        <v>1989.3464249285</v>
      </c>
      <c r="V185" s="65" t="n">
        <f aca="false">IF(V$5="A",Inputs_Actuals!V101,V72+V73)</f>
        <v>1987.57980394864</v>
      </c>
      <c r="W185" s="65" t="n">
        <f aca="false">IF(W$5="A",Inputs_Actuals!W101,W72+W73)</f>
        <v>1987.6240048232</v>
      </c>
      <c r="X185" s="65" t="n">
        <f aca="false">IF(X$5="A",Inputs_Actuals!X101,X72+X73)</f>
        <v>1987.64553507452</v>
      </c>
      <c r="Y185" s="65" t="n">
        <f aca="false">IF(Y$5="A",Inputs_Actuals!Y101,Y72+Y73)</f>
        <v>1987.64471343544</v>
      </c>
      <c r="Z185" s="65" t="n">
        <f aca="false">IF(Z$5="A",Inputs_Actuals!Z101,Z72+Z73)</f>
        <v>1987.64445457779</v>
      </c>
      <c r="AA185" s="65" t="n">
        <f aca="false">IF(AA$5="A",Inputs_Actuals!AA101,AA72+AA73)</f>
        <v>1987.644468084</v>
      </c>
      <c r="AB185" s="65" t="n">
        <f aca="false">IF(AB$5="A",Inputs_Actuals!AB101,AB72+AB73)</f>
        <v>1987.64447115089</v>
      </c>
    </row>
    <row r="186" customFormat="false" ht="15" hidden="false" customHeight="false" outlineLevel="0" collapsed="false">
      <c r="A186" s="28" t="s">
        <v>1275</v>
      </c>
      <c r="B186" s="62"/>
      <c r="C186" s="64" t="n">
        <f aca="false">SUM(E186:P186)</f>
        <v>44601.9461330074</v>
      </c>
      <c r="D186" s="64" t="n">
        <f aca="false">SUM(Q186:AB186)</f>
        <v>57407.19052108</v>
      </c>
      <c r="E186" s="65" t="n">
        <f aca="false">IF(E$5="A",Inputs_Actuals!E102,E98+E99)</f>
        <v>3190.8</v>
      </c>
      <c r="F186" s="65" t="n">
        <f aca="false">IF(F$5="A",Inputs_Actuals!F102,F98+F99)</f>
        <v>3194.07</v>
      </c>
      <c r="G186" s="65" t="n">
        <f aca="false">IF(G$5="A",Inputs_Actuals!G102,G98+G99)</f>
        <v>3487.66</v>
      </c>
      <c r="H186" s="65" t="n">
        <f aca="false">IF(H$5="A",Inputs_Actuals!H102,H98+H99)</f>
        <v>3490.78</v>
      </c>
      <c r="I186" s="65" t="n">
        <f aca="false">IF(I$5="A",Inputs_Actuals!I102,I98+I99)</f>
        <v>3834.33</v>
      </c>
      <c r="J186" s="65" t="n">
        <f aca="false">IF(J$5="A",Inputs_Actuals!J102,J98+J99)</f>
        <v>3836.43</v>
      </c>
      <c r="K186" s="65" t="n">
        <f aca="false">IF(K$5="A",Inputs_Actuals!K102,K98+K99)</f>
        <v>3828.49</v>
      </c>
      <c r="L186" s="65" t="n">
        <f aca="false">IF(L$5="A",Inputs_Actuals!L102,L98+L99)</f>
        <v>3834.7</v>
      </c>
      <c r="M186" s="65" t="n">
        <f aca="false">IF(M$5="A",Inputs_Actuals!M102,M98+M99)</f>
        <v>3789.35086666667</v>
      </c>
      <c r="N186" s="65" t="n">
        <f aca="false">IF(N$5="A",Inputs_Actuals!N102,N98+N99)</f>
        <v>4041.1826475</v>
      </c>
      <c r="O186" s="65" t="n">
        <f aca="false">IF(O$5="A",Inputs_Actuals!O102,O98+O99)</f>
        <v>4038.63433107292</v>
      </c>
      <c r="P186" s="65" t="n">
        <f aca="false">IF(P$5="A",Inputs_Actuals!P102,P98+P99)</f>
        <v>4035.51828776784</v>
      </c>
      <c r="Q186" s="65" t="n">
        <f aca="false">IF(Q$5="A",Inputs_Actuals!Q102,Q98+Q99)</f>
        <v>4562.72526713722</v>
      </c>
      <c r="R186" s="65" t="n">
        <f aca="false">IF(R$5="A",Inputs_Actuals!R102,R98+R99)</f>
        <v>4558.23392030024</v>
      </c>
      <c r="S186" s="65" t="n">
        <f aca="false">IF(S$5="A",Inputs_Actuals!S102,S98+S99)</f>
        <v>4553.75814349037</v>
      </c>
      <c r="T186" s="65" t="n">
        <f aca="false">IF(T$5="A",Inputs_Actuals!T102,T98+T99)</f>
        <v>4865.48169920262</v>
      </c>
      <c r="U186" s="65" t="n">
        <f aca="false">IF(U$5="A",Inputs_Actuals!U102,U98+U99)</f>
        <v>4861.64110196634</v>
      </c>
      <c r="V186" s="65" t="n">
        <f aca="false">IF(V$5="A",Inputs_Actuals!V102,V98+V99)</f>
        <v>4857.79256498539</v>
      </c>
      <c r="W186" s="65" t="n">
        <f aca="false">IF(W$5="A",Inputs_Actuals!W102,W98+W99)</f>
        <v>4857.8886791631</v>
      </c>
      <c r="X186" s="65" t="n">
        <f aca="false">IF(X$5="A",Inputs_Actuals!X102,X98+X99)</f>
        <v>4857.93558444814</v>
      </c>
      <c r="Y186" s="65" t="n">
        <f aca="false">IF(Y$5="A",Inputs_Actuals!Y102,Y98+Y99)</f>
        <v>4857.93379670486</v>
      </c>
      <c r="Z186" s="65" t="n">
        <f aca="false">IF(Z$5="A",Inputs_Actuals!Z102,Z98+Z99)</f>
        <v>4857.93323273559</v>
      </c>
      <c r="AA186" s="65" t="n">
        <f aca="false">IF(AA$5="A",Inputs_Actuals!AA102,AA98+AA99)</f>
        <v>4857.93326213199</v>
      </c>
      <c r="AB186" s="65" t="n">
        <f aca="false">IF(AB$5="A",Inputs_Actuals!AB102,AB98+AB99)</f>
        <v>4857.93326881416</v>
      </c>
    </row>
    <row r="187" customFormat="false" ht="15" hidden="false" customHeight="false" outlineLevel="0" collapsed="false">
      <c r="A187" s="28" t="s">
        <v>1276</v>
      </c>
      <c r="B187" s="62"/>
      <c r="C187" s="64" t="n">
        <f aca="false">SUM(E187:P187)</f>
        <v>15392.0293291016</v>
      </c>
      <c r="D187" s="64" t="n">
        <f aca="false">SUM(Q187:AB187)</f>
        <v>19478.0357913069</v>
      </c>
      <c r="E187" s="65" t="n">
        <f aca="false">IF(E$5="A",Inputs_Actuals!E103,E150+E151)</f>
        <v>1100</v>
      </c>
      <c r="F187" s="65" t="n">
        <f aca="false">IF(F$5="A",Inputs_Actuals!F103,F150+F151)</f>
        <v>1100</v>
      </c>
      <c r="G187" s="65" t="n">
        <f aca="false">IF(G$5="A",Inputs_Actuals!G103,G150+G151)</f>
        <v>1210</v>
      </c>
      <c r="H187" s="65" t="n">
        <f aca="false">IF(H$5="A",Inputs_Actuals!H103,H150+H151)</f>
        <v>1210</v>
      </c>
      <c r="I187" s="65" t="n">
        <f aca="false">IF(I$5="A",Inputs_Actuals!I103,I150+I151)</f>
        <v>1320</v>
      </c>
      <c r="J187" s="65" t="n">
        <f aca="false">IF(J$5="A",Inputs_Actuals!J103,J150+J151)</f>
        <v>1320</v>
      </c>
      <c r="K187" s="65" t="n">
        <f aca="false">IF(K$5="A",Inputs_Actuals!K103,K150+K151)</f>
        <v>1320</v>
      </c>
      <c r="L187" s="65" t="n">
        <f aca="false">IF(L$5="A",Inputs_Actuals!L103,L150+L151)</f>
        <v>1320</v>
      </c>
      <c r="M187" s="65" t="n">
        <f aca="false">IF(M$5="A",Inputs_Actuals!M103,M150+M151)</f>
        <v>1303.5</v>
      </c>
      <c r="N187" s="65" t="n">
        <f aca="false">IF(N$5="A",Inputs_Actuals!N103,N150+N151)</f>
        <v>1397.20625</v>
      </c>
      <c r="O187" s="65" t="n">
        <f aca="false">IF(O$5="A",Inputs_Actuals!O103,O150+O151)</f>
        <v>1396.241171875</v>
      </c>
      <c r="P187" s="65" t="n">
        <f aca="false">IF(P$5="A",Inputs_Actuals!P103,P150+P151)</f>
        <v>1395.08190722656</v>
      </c>
      <c r="Q187" s="65" t="n">
        <f aca="false">IF(Q$5="A",Inputs_Actuals!Q103,Q150+Q151)</f>
        <v>1542.73617304901</v>
      </c>
      <c r="R187" s="65" t="n">
        <f aca="false">IF(R$5="A",Inputs_Actuals!R103,R150+R151)</f>
        <v>1541.34131090055</v>
      </c>
      <c r="S187" s="65" t="n">
        <f aca="false">IF(S$5="A",Inputs_Actuals!S103,S150+S151)</f>
        <v>1539.94903145063</v>
      </c>
      <c r="T187" s="65" t="n">
        <f aca="false">IF(T$5="A",Inputs_Actuals!T103,T150+T151)</f>
        <v>1652.73387072061</v>
      </c>
      <c r="U187" s="65" t="n">
        <f aca="false">IF(U$5="A",Inputs_Actuals!U103,U150+U151)</f>
        <v>1651.34146372286</v>
      </c>
      <c r="V187" s="65" t="n">
        <f aca="false">IF(V$5="A",Inputs_Actuals!V103,V150+V151)</f>
        <v>1649.94905831946</v>
      </c>
      <c r="W187" s="65" t="n">
        <f aca="false">IF(W$5="A",Inputs_Actuals!W103,W150+W151)</f>
        <v>1649.98386847447</v>
      </c>
      <c r="X187" s="65" t="n">
        <f aca="false">IF(X$5="A",Inputs_Actuals!X103,X150+X151)</f>
        <v>1650.00083841508</v>
      </c>
      <c r="Y187" s="65" t="n">
        <f aca="false">IF(Y$5="A",Inputs_Actuals!Y103,Y150+Y151)</f>
        <v>1650.00019116388</v>
      </c>
      <c r="Z187" s="65" t="n">
        <f aca="false">IF(Z$5="A",Inputs_Actuals!Z103,Z150+Z151)</f>
        <v>1649.99998713026</v>
      </c>
      <c r="AA187" s="65" t="n">
        <f aca="false">IF(AA$5="A",Inputs_Actuals!AA103,AA150+AA151)</f>
        <v>1649.99999777132</v>
      </c>
      <c r="AB187" s="65" t="n">
        <f aca="false">IF(AB$5="A",Inputs_Actuals!AB103,AB150+AB151)</f>
        <v>1650.00000018873</v>
      </c>
    </row>
    <row r="188" customFormat="false" ht="15" hidden="false" customHeight="false" outlineLevel="0" collapsed="false">
      <c r="A188" s="28" t="s">
        <v>1277</v>
      </c>
      <c r="B188" s="62"/>
      <c r="C188" s="64" t="n">
        <f aca="false">SUM(E188:P188)</f>
        <v>100719.967249602</v>
      </c>
      <c r="D188" s="64" t="n">
        <f aca="false">SUM(Q188:AB188)</f>
        <v>127657.607634294</v>
      </c>
      <c r="E188" s="65" t="n">
        <f aca="false">IF(E$5="A",Inputs_Actuals!E104,E111+E112)</f>
        <v>7198.96</v>
      </c>
      <c r="F188" s="65" t="n">
        <f aca="false">IF(F$5="A",Inputs_Actuals!F104,F111+F112)</f>
        <v>7198.96</v>
      </c>
      <c r="G188" s="65" t="n">
        <f aca="false">IF(G$5="A",Inputs_Actuals!G104,G111+G112)</f>
        <v>7905.62</v>
      </c>
      <c r="H188" s="65" t="n">
        <f aca="false">IF(H$5="A",Inputs_Actuals!H104,H111+H112)</f>
        <v>7905.62</v>
      </c>
      <c r="I188" s="65" t="n">
        <f aca="false">IF(I$5="A",Inputs_Actuals!I104,I111+I112)</f>
        <v>8645.37</v>
      </c>
      <c r="J188" s="65" t="n">
        <f aca="false">IF(J$5="A",Inputs_Actuals!J104,J111+J112)</f>
        <v>8645.37</v>
      </c>
      <c r="K188" s="65" t="n">
        <f aca="false">IF(K$5="A",Inputs_Actuals!K104,K111+K112)</f>
        <v>8645.37</v>
      </c>
      <c r="L188" s="65" t="n">
        <f aca="false">IF(L$5="A",Inputs_Actuals!L104,L111+L112)</f>
        <v>8645.37</v>
      </c>
      <c r="M188" s="65" t="n">
        <f aca="false">IF(M$5="A",Inputs_Actuals!M104,M111+M112)</f>
        <v>8537.30698958333</v>
      </c>
      <c r="N188" s="65" t="n">
        <f aca="false">IF(N$5="A",Inputs_Actuals!N104,N111+N112)</f>
        <v>9137.24648554688</v>
      </c>
      <c r="O188" s="65" t="n">
        <f aca="false">IF(O$5="A",Inputs_Actuals!O104,O111+O112)</f>
        <v>9131.09808156088</v>
      </c>
      <c r="P188" s="65" t="n">
        <f aca="false">IF(P$5="A",Inputs_Actuals!P104,P111+P112)</f>
        <v>9123.67569291115</v>
      </c>
      <c r="Q188" s="65" t="n">
        <f aca="false">IF(Q$5="A",Inputs_Actuals!Q104,Q111+Q112)</f>
        <v>10121.6038977172</v>
      </c>
      <c r="R188" s="65" t="n">
        <f aca="false">IF(R$5="A",Inputs_Actuals!R104,R111+R112)</f>
        <v>10112.2071826219</v>
      </c>
      <c r="S188" s="65" t="n">
        <f aca="false">IF(S$5="A",Inputs_Actuals!S104,S111+S112)</f>
        <v>10102.8327281624</v>
      </c>
      <c r="T188" s="65" t="n">
        <f aca="false">IF(T$5="A",Inputs_Actuals!T104,T111+T112)</f>
        <v>10828.1525261152</v>
      </c>
      <c r="U188" s="65" t="n">
        <f aca="false">IF(U$5="A",Inputs_Actuals!U104,U111+U112)</f>
        <v>10819.2032093215</v>
      </c>
      <c r="V188" s="65" t="n">
        <f aca="false">IF(V$5="A",Inputs_Actuals!V104,V111+V112)</f>
        <v>10810.248578307</v>
      </c>
      <c r="W188" s="65" t="n">
        <f aca="false">IF(W$5="A",Inputs_Actuals!W104,W111+W112)</f>
        <v>10810.4723776546</v>
      </c>
      <c r="X188" s="65" t="n">
        <f aca="false">IF(X$5="A",Inputs_Actuals!X104,X111+X112)</f>
        <v>10810.5815130505</v>
      </c>
      <c r="Y188" s="65" t="n">
        <f aca="false">IF(Y$5="A",Inputs_Actuals!Y104,Y111+Y112)</f>
        <v>10810.5773513662</v>
      </c>
      <c r="Z188" s="65" t="n">
        <f aca="false">IF(Z$5="A",Inputs_Actuals!Z104,Z111+Z112)</f>
        <v>10810.5760391948</v>
      </c>
      <c r="AA188" s="65" t="n">
        <f aca="false">IF(AA$5="A",Inputs_Actuals!AA104,AA111+AA112)</f>
        <v>10810.576107618</v>
      </c>
      <c r="AB188" s="65" t="n">
        <f aca="false">IF(AB$5="A",Inputs_Actuals!AB104,AB111+AB112)</f>
        <v>10810.5761231648</v>
      </c>
    </row>
    <row r="189" customFormat="false" ht="15" hidden="false" customHeight="false" outlineLevel="0" collapsed="false">
      <c r="A189" s="28" t="s">
        <v>1278</v>
      </c>
      <c r="B189" s="62"/>
      <c r="C189" s="64" t="n">
        <f aca="false">SUM(E189:P189)</f>
        <v>29763.3171335658</v>
      </c>
      <c r="D189" s="64" t="n">
        <f aca="false">SUM(Q189:AB189)</f>
        <v>38300.9495774361</v>
      </c>
      <c r="E189" s="65" t="n">
        <f aca="false">IF(E$5="A",Inputs_Actuals!E105,E124+E125)</f>
        <v>2128</v>
      </c>
      <c r="F189" s="65" t="n">
        <f aca="false">IF(F$5="A",Inputs_Actuals!F105,F124+F125)</f>
        <v>2128</v>
      </c>
      <c r="G189" s="65" t="n">
        <f aca="false">IF(G$5="A",Inputs_Actuals!G105,G124+G125)</f>
        <v>2327.62</v>
      </c>
      <c r="H189" s="65" t="n">
        <f aca="false">IF(H$5="A",Inputs_Actuals!H105,H124+H125)</f>
        <v>2327.62</v>
      </c>
      <c r="I189" s="65" t="n">
        <f aca="false">IF(I$5="A",Inputs_Actuals!I105,I124+I125)</f>
        <v>2560.19</v>
      </c>
      <c r="J189" s="65" t="n">
        <f aca="false">IF(J$5="A",Inputs_Actuals!J105,J124+J125)</f>
        <v>2560.19</v>
      </c>
      <c r="K189" s="65" t="n">
        <f aca="false">IF(K$5="A",Inputs_Actuals!K105,K124+K125)</f>
        <v>2560.19</v>
      </c>
      <c r="L189" s="65" t="n">
        <f aca="false">IF(L$5="A",Inputs_Actuals!L105,L124+L125)</f>
        <v>2560.19</v>
      </c>
      <c r="M189" s="65" t="n">
        <f aca="false">IF(M$5="A",Inputs_Actuals!M105,M124+M125)</f>
        <v>2528.18499166667</v>
      </c>
      <c r="N189" s="65" t="n">
        <f aca="false">IF(N$5="A",Inputs_Actuals!N105,N124+N125)</f>
        <v>2696.2038459375</v>
      </c>
      <c r="O189" s="65" t="n">
        <f aca="false">IF(O$5="A",Inputs_Actuals!O105,O124+O125)</f>
        <v>2694.50363952995</v>
      </c>
      <c r="P189" s="65" t="n">
        <f aca="false">IF(P$5="A",Inputs_Actuals!P105,P124+P125)</f>
        <v>2692.42465643166</v>
      </c>
      <c r="Q189" s="65" t="n">
        <f aca="false">IF(Q$5="A",Inputs_Actuals!Q105,Q124+Q125)</f>
        <v>3044.15963952341</v>
      </c>
      <c r="R189" s="65" t="n">
        <f aca="false">IF(R$5="A",Inputs_Actuals!R105,R124+R125)</f>
        <v>3041.16312539311</v>
      </c>
      <c r="S189" s="65" t="n">
        <f aca="false">IF(S$5="A",Inputs_Actuals!S105,S124+S125)</f>
        <v>3038.17699877188</v>
      </c>
      <c r="T189" s="65" t="n">
        <f aca="false">IF(T$5="A",Inputs_Actuals!T105,T124+T125)</f>
        <v>3246.15414844794</v>
      </c>
      <c r="U189" s="65" t="n">
        <f aca="false">IF(U$5="A",Inputs_Actuals!U105,U124+U125)</f>
        <v>3243.59176065975</v>
      </c>
      <c r="V189" s="65" t="n">
        <f aca="false">IF(V$5="A",Inputs_Actuals!V105,V124+V125)</f>
        <v>3241.02407613615</v>
      </c>
      <c r="W189" s="65" t="n">
        <f aca="false">IF(W$5="A",Inputs_Actuals!W105,W124+W125)</f>
        <v>3241.08820204005</v>
      </c>
      <c r="X189" s="65" t="n">
        <f aca="false">IF(X$5="A",Inputs_Actuals!X105,X124+X125)</f>
        <v>3241.1194965228</v>
      </c>
      <c r="Y189" s="65" t="n">
        <f aca="false">IF(Y$5="A",Inputs_Actuals!Y105,Y124+Y125)</f>
        <v>3241.11830376796</v>
      </c>
      <c r="Z189" s="65" t="n">
        <f aca="false">IF(Z$5="A",Inputs_Actuals!Z105,Z124+Z125)</f>
        <v>3241.11792749637</v>
      </c>
      <c r="AA189" s="65" t="n">
        <f aca="false">IF(AA$5="A",Inputs_Actuals!AA105,AA124+AA125)</f>
        <v>3241.1179471092</v>
      </c>
      <c r="AB189" s="65" t="n">
        <f aca="false">IF(AB$5="A",Inputs_Actuals!AB105,AB124+AB125)</f>
        <v>3241.11795156743</v>
      </c>
    </row>
    <row r="190" customFormat="false" ht="15" hidden="false" customHeight="false" outlineLevel="0" collapsed="false">
      <c r="A190" s="28" t="s">
        <v>1279</v>
      </c>
      <c r="B190" s="62"/>
      <c r="C190" s="64" t="n">
        <f aca="false">SUM(E190:P190)</f>
        <v>43102.4910106005</v>
      </c>
      <c r="D190" s="64" t="n">
        <f aca="false">SUM(Q190:AB190)</f>
        <v>54921.8275325573</v>
      </c>
      <c r="E190" s="65" t="n">
        <f aca="false">IF(E$5="A",Inputs_Actuals!E106,E137+E138)</f>
        <v>3082.08</v>
      </c>
      <c r="F190" s="65" t="n">
        <f aca="false">IF(F$5="A",Inputs_Actuals!F106,F137+F138)</f>
        <v>3082.08</v>
      </c>
      <c r="G190" s="65" t="n">
        <f aca="false">IF(G$5="A",Inputs_Actuals!G106,G137+G138)</f>
        <v>3366.12</v>
      </c>
      <c r="H190" s="65" t="n">
        <f aca="false">IF(H$5="A",Inputs_Actuals!H106,H137+H138)</f>
        <v>3366.12</v>
      </c>
      <c r="I190" s="65" t="n">
        <f aca="false">IF(I$5="A",Inputs_Actuals!I106,I137+I138)</f>
        <v>3710.58</v>
      </c>
      <c r="J190" s="65" t="n">
        <f aca="false">IF(J$5="A",Inputs_Actuals!J106,J137+J138)</f>
        <v>3710.58</v>
      </c>
      <c r="K190" s="65" t="n">
        <f aca="false">IF(K$5="A",Inputs_Actuals!K106,K137+K138)</f>
        <v>3710.58</v>
      </c>
      <c r="L190" s="65" t="n">
        <f aca="false">IF(L$5="A",Inputs_Actuals!L106,L137+L138)</f>
        <v>3710.58</v>
      </c>
      <c r="M190" s="65" t="n">
        <f aca="false">IF(M$5="A",Inputs_Actuals!M106,M137+M138)</f>
        <v>3664.19930202083</v>
      </c>
      <c r="N190" s="65" t="n">
        <f aca="false">IF(N$5="A",Inputs_Actuals!N106,N137+N138)</f>
        <v>3902.43871741224</v>
      </c>
      <c r="O190" s="65" t="n">
        <f aca="false">IF(O$5="A",Inputs_Actuals!O106,O137+O138)</f>
        <v>3900.04050309042</v>
      </c>
      <c r="P190" s="65" t="n">
        <f aca="false">IF(P$5="A",Inputs_Actuals!P106,P137+P138)</f>
        <v>3897.09248807705</v>
      </c>
      <c r="Q190" s="65" t="n">
        <f aca="false">IF(Q$5="A",Inputs_Actuals!Q106,Q137+Q138)</f>
        <v>4369.41654933609</v>
      </c>
      <c r="R190" s="65" t="n">
        <f aca="false">IF(R$5="A",Inputs_Actuals!R106,R137+R138)</f>
        <v>4365.01821980983</v>
      </c>
      <c r="S190" s="65" t="n">
        <f aca="false">IF(S$5="A",Inputs_Actuals!S106,S137+S138)</f>
        <v>4360.63690871901</v>
      </c>
      <c r="T190" s="65" t="n">
        <f aca="false">IF(T$5="A",Inputs_Actuals!T106,T137+T138)</f>
        <v>4653.34804089339</v>
      </c>
      <c r="U190" s="65" t="n">
        <f aca="false">IF(U$5="A",Inputs_Actuals!U106,U137+U138)</f>
        <v>4649.74391812985</v>
      </c>
      <c r="V190" s="65" t="n">
        <f aca="false">IF(V$5="A",Inputs_Actuals!V106,V137+V138)</f>
        <v>4646.13008051221</v>
      </c>
      <c r="W190" s="65" t="n">
        <f aca="false">IF(W$5="A",Inputs_Actuals!W106,W137+W138)</f>
        <v>4646.22030501698</v>
      </c>
      <c r="X190" s="65" t="n">
        <f aca="false">IF(X$5="A",Inputs_Actuals!X106,X137+X138)</f>
        <v>4646.26435018088</v>
      </c>
      <c r="Y190" s="65" t="n">
        <f aca="false">IF(Y$5="A",Inputs_Actuals!Y106,Y137+Y138)</f>
        <v>4646.26267181003</v>
      </c>
      <c r="Z190" s="65" t="n">
        <f aca="false">IF(Z$5="A",Inputs_Actuals!Z106,Z137+Z138)</f>
        <v>4646.26214222511</v>
      </c>
      <c r="AA190" s="65" t="n">
        <f aca="false">IF(AA$5="A",Inputs_Actuals!AA106,AA137+AA138)</f>
        <v>4646.26216982456</v>
      </c>
      <c r="AB190" s="65" t="n">
        <f aca="false">IF(AB$5="A",Inputs_Actuals!AB106,AB137+AB138)</f>
        <v>4646.26217609938</v>
      </c>
    </row>
    <row r="191" customFormat="false" ht="15" hidden="false" customHeight="false" outlineLevel="0" collapsed="false">
      <c r="A191" s="28" t="s">
        <v>1280</v>
      </c>
      <c r="B191" s="62"/>
      <c r="C191" s="64" t="n">
        <f aca="false">SUM(E191:P191)</f>
        <v>451124.835577911</v>
      </c>
      <c r="D191" s="64" t="n">
        <f aca="false">SUM(Q191:AB191)</f>
        <v>574308.514810146</v>
      </c>
      <c r="E191" s="65" t="n">
        <f aca="false">IF(E$5="A",Inputs_Actuals!E107,E183-E188-E189-E190)</f>
        <v>32322.84</v>
      </c>
      <c r="F191" s="65" t="n">
        <f aca="false">IF(F$5="A",Inputs_Actuals!F107,F183-F188-F189-F190)</f>
        <v>32235.9</v>
      </c>
      <c r="G191" s="65" t="n">
        <f aca="false">IF(G$5="A",Inputs_Actuals!G107,G183-G188-G189-G190)</f>
        <v>35329.91</v>
      </c>
      <c r="H191" s="65" t="n">
        <f aca="false">IF(H$5="A",Inputs_Actuals!H107,H183-H188-H189-H190)</f>
        <v>35429.3</v>
      </c>
      <c r="I191" s="65" t="n">
        <f aca="false">IF(I$5="A",Inputs_Actuals!I107,I183-I188-I189-I190)</f>
        <v>38781.51</v>
      </c>
      <c r="J191" s="65" t="n">
        <f aca="false">IF(J$5="A",Inputs_Actuals!J107,J183-J188-J189-J190)</f>
        <v>38652.51</v>
      </c>
      <c r="K191" s="65" t="n">
        <f aca="false">IF(K$5="A",Inputs_Actuals!K107,K183-K188-K189-K190)</f>
        <v>38711.42</v>
      </c>
      <c r="L191" s="65" t="n">
        <f aca="false">IF(L$5="A",Inputs_Actuals!L107,L183-L188-L189-L190)</f>
        <v>38690.29</v>
      </c>
      <c r="M191" s="65" t="n">
        <f aca="false">IF(M$5="A",Inputs_Actuals!M107,M183-M188-M189-M190)</f>
        <v>38266.1420500625</v>
      </c>
      <c r="N191" s="65" t="n">
        <f aca="false">IF(N$5="A",Inputs_Actuals!N107,N183-N188-N189-N190)</f>
        <v>40930.8297011034</v>
      </c>
      <c r="O191" s="65" t="n">
        <f aca="false">IF(O$5="A",Inputs_Actuals!O107,O183-O188-O189-O190)</f>
        <v>40903.5758747771</v>
      </c>
      <c r="P191" s="65" t="n">
        <f aca="false">IF(P$5="A",Inputs_Actuals!P107,P183-P188-P189-P190)</f>
        <v>40870.6079519682</v>
      </c>
      <c r="Q191" s="65" t="n">
        <f aca="false">IF(Q$5="A",Inputs_Actuals!Q107,Q183-Q188-Q189-Q190)</f>
        <v>45553.8689619025</v>
      </c>
      <c r="R191" s="65" t="n">
        <f aca="false">IF(R$5="A",Inputs_Actuals!R107,R183-R188-R189-R190)</f>
        <v>45511.1485905725</v>
      </c>
      <c r="S191" s="65" t="n">
        <f aca="false">IF(S$5="A",Inputs_Actuals!S107,S183-S188-S189-S190)</f>
        <v>45468.5377039274</v>
      </c>
      <c r="T191" s="65" t="n">
        <f aca="false">IF(T$5="A",Inputs_Actuals!T107,T183-T188-T189-T190)</f>
        <v>48707.3487663188</v>
      </c>
      <c r="U191" s="65" t="n">
        <f aca="false">IF(U$5="A",Inputs_Actuals!U107,U183-U188-U189-U190)</f>
        <v>48667.3962641219</v>
      </c>
      <c r="V191" s="65" t="n">
        <f aca="false">IF(V$5="A",Inputs_Actuals!V107,V183-V188-V189-V190)</f>
        <v>48627.4105321195</v>
      </c>
      <c r="W191" s="65" t="n">
        <f aca="false">IF(W$5="A",Inputs_Actuals!W107,W183-W188-W189-W190)</f>
        <v>48628.409760047</v>
      </c>
      <c r="X191" s="65" t="n">
        <f aca="false">IF(X$5="A",Inputs_Actuals!X107,X183-X188-X189-X190)</f>
        <v>48628.8970913479</v>
      </c>
      <c r="Y191" s="65" t="n">
        <f aca="false">IF(Y$5="A",Inputs_Actuals!Y107,Y183-Y188-Y189-Y190)</f>
        <v>48628.8785093576</v>
      </c>
      <c r="Z191" s="65" t="n">
        <f aca="false">IF(Z$5="A",Inputs_Actuals!Z107,Z183-Z188-Z189-Z190)</f>
        <v>48628.8726499912</v>
      </c>
      <c r="AA191" s="65" t="n">
        <f aca="false">IF(AA$5="A",Inputs_Actuals!AA107,AA183-AA188-AA189-AA190)</f>
        <v>48628.8729555081</v>
      </c>
      <c r="AB191" s="65" t="n">
        <f aca="false">IF(AB$5="A",Inputs_Actuals!AB107,AB183-AB188-AB189-AB190)</f>
        <v>48628.8730249313</v>
      </c>
    </row>
    <row r="192" customFormat="false" ht="15" hidden="false" customHeight="false" outlineLevel="0" collapsed="false">
      <c r="A192" s="28" t="s">
        <v>1281</v>
      </c>
      <c r="B192" s="62"/>
      <c r="C192" s="67" t="n">
        <f aca="false">P192</f>
        <v>15.4997233796296</v>
      </c>
      <c r="D192" s="67" t="n">
        <f aca="false">AB192</f>
        <v>18.3870967809105</v>
      </c>
      <c r="E192" s="80" t="n">
        <f aca="false">E16+E17+E18+E19</f>
        <v>14</v>
      </c>
      <c r="F192" s="80" t="n">
        <f aca="false">F16+F17+F18+F19</f>
        <v>15</v>
      </c>
      <c r="G192" s="80" t="n">
        <f aca="false">G16+G17+G18+G19</f>
        <v>15</v>
      </c>
      <c r="H192" s="80" t="n">
        <f aca="false">H16+H17+H18+H19</f>
        <v>16</v>
      </c>
      <c r="I192" s="80" t="n">
        <f aca="false">I16+I17+I18+I19</f>
        <v>16</v>
      </c>
      <c r="J192" s="80" t="n">
        <f aca="false">J16+J17+J18+J19</f>
        <v>16</v>
      </c>
      <c r="K192" s="80" t="n">
        <f aca="false">K16+K17+K18+K19</f>
        <v>15</v>
      </c>
      <c r="L192" s="80" t="n">
        <f aca="false">L16+L17+L18+L19</f>
        <v>15</v>
      </c>
      <c r="M192" s="80" t="n">
        <f aca="false">M16+M17+M18+M19</f>
        <v>14.75</v>
      </c>
      <c r="N192" s="80" t="n">
        <f aca="false">N16+N17+N18+N19</f>
        <v>14.5041666666667</v>
      </c>
      <c r="O192" s="80" t="n">
        <f aca="false">O16+O17+O18+O19</f>
        <v>15.5124305555556</v>
      </c>
      <c r="P192" s="80" t="n">
        <f aca="false">P16+P17+P18+P19</f>
        <v>15.4997233796296</v>
      </c>
      <c r="Q192" s="80" t="n">
        <f aca="false">Q16+Q17+Q18+Q19</f>
        <v>16.4831307677469</v>
      </c>
      <c r="R192" s="80" t="n">
        <f aca="false">R16+R17+R18+R19</f>
        <v>17.4669524308771</v>
      </c>
      <c r="S192" s="80" t="n">
        <f aca="false">S16+S17+S18+S19</f>
        <v>17.4341652800229</v>
      </c>
      <c r="T192" s="80" t="n">
        <f aca="false">T16+T17+T18+T19</f>
        <v>18.4183147048183</v>
      </c>
      <c r="U192" s="80" t="n">
        <f aca="false">U16+U17+U18+U19</f>
        <v>18.4024586669193</v>
      </c>
      <c r="V192" s="80" t="n">
        <f aca="false">V16+V17+V18+V19</f>
        <v>18.3863204438044</v>
      </c>
      <c r="W192" s="80" t="n">
        <f aca="false">W16+W17+W18+W19</f>
        <v>18.3868536814879</v>
      </c>
      <c r="X192" s="80" t="n">
        <f aca="false">X16+X17+X18+X19</f>
        <v>18.3871137645785</v>
      </c>
      <c r="Y192" s="80" t="n">
        <f aca="false">Y16+Y17+Y18+Y19</f>
        <v>18.3871005425656</v>
      </c>
      <c r="Z192" s="80" t="n">
        <f aca="false">Z16+Z17+Z18+Z19</f>
        <v>18.3870964282143</v>
      </c>
      <c r="AA192" s="80" t="n">
        <f aca="false">AA16+AA17+AA18+AA19</f>
        <v>18.3870967171537</v>
      </c>
      <c r="AB192" s="80" t="n">
        <f aca="false">AB16+AB17+AB18+AB19</f>
        <v>18.3870967809105</v>
      </c>
    </row>
    <row r="193" customFormat="false" ht="15" hidden="false" customHeight="false" outlineLevel="0" collapsed="false">
      <c r="A193" s="28" t="s">
        <v>1282</v>
      </c>
      <c r="B193" s="62"/>
      <c r="C193" s="64" t="n">
        <f aca="false">SUM(E193:P193)</f>
        <v>998015.247330247</v>
      </c>
      <c r="D193" s="64" t="n">
        <f aca="false">SUM(Q193:AB193)</f>
        <v>1227888.12798438</v>
      </c>
      <c r="E193" s="65" t="n">
        <f aca="false">IF(E$5="A",Inputs_Actuals!E108,E48+E49+E50+E51)</f>
        <v>75446.95</v>
      </c>
      <c r="F193" s="65" t="n">
        <f aca="false">IF(F$5="A",Inputs_Actuals!F108,F48+F49+F50+F51)</f>
        <v>81502.72</v>
      </c>
      <c r="G193" s="65" t="n">
        <f aca="false">IF(G$5="A",Inputs_Actuals!G108,G48+G49+G50+G51)</f>
        <v>81398.84</v>
      </c>
      <c r="H193" s="65" t="n">
        <f aca="false">IF(H$5="A",Inputs_Actuals!H108,H48+H49+H50+H51)</f>
        <v>86372.25</v>
      </c>
      <c r="I193" s="65" t="n">
        <f aca="false">IF(I$5="A",Inputs_Actuals!I108,I48+I49+I50+I51)</f>
        <v>86271.42</v>
      </c>
      <c r="J193" s="65" t="n">
        <f aca="false">IF(J$5="A",Inputs_Actuals!J108,J48+J49+J50+J51)</f>
        <v>86334.25</v>
      </c>
      <c r="K193" s="65" t="n">
        <f aca="false">IF(K$5="A",Inputs_Actuals!K108,K48+K49+K50+K51)</f>
        <v>82709.59</v>
      </c>
      <c r="L193" s="65" t="n">
        <f aca="false">IF(L$5="A",Inputs_Actuals!L108,L48+L49+L50+L51)</f>
        <v>82918.92</v>
      </c>
      <c r="M193" s="65" t="n">
        <f aca="false">IF(M$5="A",Inputs_Actuals!M108,M48+M49+M50+M51)</f>
        <v>81616.6666666667</v>
      </c>
      <c r="N193" s="65" t="n">
        <f aca="false">IF(N$5="A",Inputs_Actuals!N108,N48+N49+N50+N51)</f>
        <v>80256.3888888889</v>
      </c>
      <c r="O193" s="65" t="n">
        <f aca="false">IF(O$5="A",Inputs_Actuals!O108,O48+O49+O50+O51)</f>
        <v>86635.4490740741</v>
      </c>
      <c r="P193" s="65" t="n">
        <f aca="false">IF(P$5="A",Inputs_Actuals!P108,P48+P49+P50+P51)</f>
        <v>86551.8027006173</v>
      </c>
      <c r="Q193" s="65" t="n">
        <f aca="false">IF(Q$5="A",Inputs_Actuals!Q108,Q48+Q49+Q50+Q51)</f>
        <v>95563.6188445345</v>
      </c>
      <c r="R193" s="65" t="n">
        <f aca="false">IF(R$5="A",Inputs_Actuals!R108,R48+R49+R50+R51)</f>
        <v>100436.467072897</v>
      </c>
      <c r="S193" s="65" t="n">
        <f aca="false">IF(S$5="A",Inputs_Actuals!S108,S48+S49+S50+S51)</f>
        <v>100248.331901376</v>
      </c>
      <c r="T193" s="65" t="n">
        <f aca="false">IF(T$5="A",Inputs_Actuals!T108,T48+T49+T50+T51)</f>
        <v>103603.586683762</v>
      </c>
      <c r="U193" s="65" t="n">
        <f aca="false">IF(U$5="A",Inputs_Actuals!U108,U48+U49+U50+U51)</f>
        <v>103550.801356914</v>
      </c>
      <c r="V193" s="65" t="n">
        <f aca="false">IF(V$5="A",Inputs_Actuals!V108,V48+V49+V50+V51)</f>
        <v>103495.760199322</v>
      </c>
      <c r="W193" s="65" t="n">
        <f aca="false">IF(W$5="A",Inputs_Actuals!W108,W48+W49+W50+W51)</f>
        <v>103497.557307396</v>
      </c>
      <c r="X193" s="65" t="n">
        <f aca="false">IF(X$5="A",Inputs_Actuals!X108,X48+X49+X50+X51)</f>
        <v>103498.444708221</v>
      </c>
      <c r="Y193" s="65" t="n">
        <f aca="false">IF(Y$5="A",Inputs_Actuals!Y108,Y48+Y49+Y50+Y51)</f>
        <v>103498.399966406</v>
      </c>
      <c r="Z193" s="65" t="n">
        <f aca="false">IF(Z$5="A",Inputs_Actuals!Z108,Z48+Z49+Z50+Z51)</f>
        <v>103498.38592209</v>
      </c>
      <c r="AA193" s="65" t="n">
        <f aca="false">IF(AA$5="A",Inputs_Actuals!AA108,AA48+AA49+AA50+AA51)</f>
        <v>103498.386901858</v>
      </c>
      <c r="AB193" s="65" t="n">
        <f aca="false">IF(AB$5="A",Inputs_Actuals!AB108,AB48+AB49+AB50+AB51)</f>
        <v>103498.387119601</v>
      </c>
    </row>
    <row r="194" customFormat="false" ht="15" hidden="false" customHeight="false" outlineLevel="0" collapsed="false">
      <c r="A194" s="28" t="s">
        <v>1283</v>
      </c>
      <c r="B194" s="62"/>
      <c r="C194" s="64" t="n">
        <f aca="false">SUM(E194:P194)</f>
        <v>353756.152965179</v>
      </c>
      <c r="D194" s="64" t="n">
        <f aca="false">SUM(Q194:AB194)</f>
        <v>435875.492220285</v>
      </c>
      <c r="E194" s="65" t="n">
        <f aca="false">IF(E$5="A",Inputs_Actuals!E109,E87+E88+E89+E90)</f>
        <v>26631.89</v>
      </c>
      <c r="F194" s="65" t="n">
        <f aca="false">IF(F$5="A",Inputs_Actuals!F109,F87+F88+F89+F90)</f>
        <v>28865.77</v>
      </c>
      <c r="G194" s="65" t="n">
        <f aca="false">IF(G$5="A",Inputs_Actuals!G109,G87+G88+G89+G90)</f>
        <v>28843.65</v>
      </c>
      <c r="H194" s="65" t="n">
        <f aca="false">IF(H$5="A",Inputs_Actuals!H109,H87+H88+H89+H90)</f>
        <v>30672.06</v>
      </c>
      <c r="I194" s="65" t="n">
        <f aca="false">IF(I$5="A",Inputs_Actuals!I109,I87+I88+I89+I90)</f>
        <v>30602.95</v>
      </c>
      <c r="J194" s="65" t="n">
        <f aca="false">IF(J$5="A",Inputs_Actuals!J109,J87+J88+J89+J90)</f>
        <v>30487.31</v>
      </c>
      <c r="K194" s="65" t="n">
        <f aca="false">IF(K$5="A",Inputs_Actuals!K109,K87+K88+K89+K90)</f>
        <v>29428.75</v>
      </c>
      <c r="L194" s="65" t="n">
        <f aca="false">IF(L$5="A",Inputs_Actuals!L109,L87+L88+L89+L90)</f>
        <v>29363.32</v>
      </c>
      <c r="M194" s="65" t="n">
        <f aca="false">IF(M$5="A",Inputs_Actuals!M109,M87+M88+M89+M90)</f>
        <v>28919.9688544928</v>
      </c>
      <c r="N194" s="65" t="n">
        <f aca="false">IF(N$5="A",Inputs_Actuals!N109,N87+N88+N89+N90)</f>
        <v>28437.9693735846</v>
      </c>
      <c r="O194" s="65" t="n">
        <f aca="false">IF(O$5="A",Inputs_Actuals!O109,O87+O88+O89+O90)</f>
        <v>30766.6463476603</v>
      </c>
      <c r="P194" s="65" t="n">
        <f aca="false">IF(P$5="A",Inputs_Actuals!P109,P87+P88+P89+P90)</f>
        <v>30735.8683894409</v>
      </c>
      <c r="Q194" s="65" t="n">
        <f aca="false">IF(Q$5="A",Inputs_Actuals!Q109,Q87+Q88+Q89+Q90)</f>
        <v>33998.21075196</v>
      </c>
      <c r="R194" s="65" t="n">
        <f aca="false">IF(R$5="A",Inputs_Actuals!R109,R87+R88+R89+R90)</f>
        <v>35738.6674816687</v>
      </c>
      <c r="S194" s="65" t="n">
        <f aca="false">IF(S$5="A",Inputs_Actuals!S109,S87+S88+S89+S90)</f>
        <v>35670.6761279133</v>
      </c>
      <c r="T194" s="65" t="n">
        <f aca="false">IF(T$5="A",Inputs_Actuals!T109,T87+T88+T89+T90)</f>
        <v>36746.7936004376</v>
      </c>
      <c r="U194" s="65" t="n">
        <f aca="false">IF(U$5="A",Inputs_Actuals!U109,U87+U88+U89+U90)</f>
        <v>36729.9914984581</v>
      </c>
      <c r="V194" s="65" t="n">
        <f aca="false">IF(V$5="A",Inputs_Actuals!V109,V87+V88+V89+V90)</f>
        <v>36712.3362422823</v>
      </c>
      <c r="W194" s="65" t="n">
        <f aca="false">IF(W$5="A",Inputs_Actuals!W109,W87+W88+W89+W90)</f>
        <v>36712.9105315849</v>
      </c>
      <c r="X194" s="65" t="n">
        <f aca="false">IF(X$5="A",Inputs_Actuals!X109,X87+X88+X89+X90)</f>
        <v>36713.1952143661</v>
      </c>
      <c r="Y194" s="65" t="n">
        <f aca="false">IF(Y$5="A",Inputs_Actuals!Y109,Y87+Y88+Y89+Y90)</f>
        <v>36713.1808981648</v>
      </c>
      <c r="Z194" s="65" t="n">
        <f aca="false">IF(Z$5="A",Inputs_Actuals!Z109,Z87+Z88+Z89+Z90)</f>
        <v>36713.1763920551</v>
      </c>
      <c r="AA194" s="65" t="n">
        <f aca="false">IF(AA$5="A",Inputs_Actuals!AA109,AA87+AA88+AA89+AA90)</f>
        <v>36713.1767057603</v>
      </c>
      <c r="AB194" s="65" t="n">
        <f aca="false">IF(AB$5="A",Inputs_Actuals!AB109,AB87+AB88+AB89+AB90)</f>
        <v>36713.1767756337</v>
      </c>
    </row>
    <row r="195" customFormat="false" ht="15" hidden="false" customHeight="false" outlineLevel="0" collapsed="false">
      <c r="A195" s="28" t="s">
        <v>1284</v>
      </c>
      <c r="B195" s="62"/>
      <c r="C195" s="64" t="n">
        <f aca="false">SUM(E195:P195)</f>
        <v>16988.4724805861</v>
      </c>
      <c r="D195" s="64" t="n">
        <f aca="false">SUM(Q195:AB195)</f>
        <v>19403.2777893149</v>
      </c>
      <c r="E195" s="65" t="n">
        <f aca="false">IF(E$5="A",Inputs_Actuals!E110,E74+E75+E76+E77)</f>
        <v>1411.44</v>
      </c>
      <c r="F195" s="65" t="n">
        <f aca="false">IF(F$5="A",Inputs_Actuals!F110,F74+F75+F76+F77)</f>
        <v>1411.44</v>
      </c>
      <c r="G195" s="65" t="n">
        <f aca="false">IF(G$5="A",Inputs_Actuals!G110,G74+G75+G76+G77)</f>
        <v>1411.44</v>
      </c>
      <c r="H195" s="65" t="n">
        <f aca="false">IF(H$5="A",Inputs_Actuals!H110,H74+H75+H76+H77)</f>
        <v>1523.88</v>
      </c>
      <c r="I195" s="65" t="n">
        <f aca="false">IF(I$5="A",Inputs_Actuals!I110,I74+I75+I76+I77)</f>
        <v>1523.88</v>
      </c>
      <c r="J195" s="65" t="n">
        <f aca="false">IF(J$5="A",Inputs_Actuals!J110,J74+J75+J76+J77)</f>
        <v>1631.61</v>
      </c>
      <c r="K195" s="65" t="n">
        <f aca="false">IF(K$5="A",Inputs_Actuals!K110,K74+K75+K76+K77)</f>
        <v>1371.97</v>
      </c>
      <c r="L195" s="65" t="n">
        <f aca="false">IF(L$5="A",Inputs_Actuals!L110,L74+L75+L76+L77)</f>
        <v>1371.97</v>
      </c>
      <c r="M195" s="65" t="n">
        <f aca="false">IF(M$5="A",Inputs_Actuals!M110,M74+M75+M76+M77)</f>
        <v>1349.10597884054</v>
      </c>
      <c r="N195" s="65" t="n">
        <f aca="false">IF(N$5="A",Inputs_Actuals!N110,N74+N75+N76+N77)</f>
        <v>1326.62087919319</v>
      </c>
      <c r="O195" s="65" t="n">
        <f aca="false">IF(O$5="A",Inputs_Actuals!O110,O74+O75+O76+O77)</f>
        <v>1327.37673423784</v>
      </c>
      <c r="P195" s="65" t="n">
        <f aca="false">IF(P$5="A",Inputs_Actuals!P110,P74+P75+P76+P77)</f>
        <v>1327.73888831455</v>
      </c>
      <c r="Q195" s="65" t="n">
        <f aca="false">IF(Q$5="A",Inputs_Actuals!Q110,Q74+Q75+Q76+Q77)</f>
        <v>1323.06927895118</v>
      </c>
      <c r="R195" s="65" t="n">
        <f aca="false">IF(R$5="A",Inputs_Actuals!R110,R74+R75+R76+R77)</f>
        <v>1441.97834942429</v>
      </c>
      <c r="S195" s="65" t="n">
        <f aca="false">IF(S$5="A",Inputs_Actuals!S110,S74+S75+S76+S77)</f>
        <v>1439.99684105328</v>
      </c>
      <c r="T195" s="65" t="n">
        <f aca="false">IF(T$5="A",Inputs_Actuals!T110,T74+T75+T76+T77)</f>
        <v>1695.57881956144</v>
      </c>
      <c r="U195" s="65" t="n">
        <f aca="false">IF(U$5="A",Inputs_Actuals!U110,U74+U75+U76+U77)</f>
        <v>1691.35214505916</v>
      </c>
      <c r="V195" s="65" t="n">
        <f aca="false">IF(V$5="A",Inputs_Actuals!V110,V74+V75+V76+V77)</f>
        <v>1687.16288999239</v>
      </c>
      <c r="W195" s="65" t="n">
        <f aca="false">IF(W$5="A",Inputs_Actuals!W110,W74+W75+W76+W77)</f>
        <v>1687.30315548521</v>
      </c>
      <c r="X195" s="65" t="n">
        <f aca="false">IF(X$5="A",Inputs_Actuals!X110,X74+X75+X76+X77)</f>
        <v>1687.37063864477</v>
      </c>
      <c r="Y195" s="65" t="n">
        <f aca="false">IF(Y$5="A",Inputs_Actuals!Y110,Y74+Y75+Y76+Y77)</f>
        <v>1687.36717616723</v>
      </c>
      <c r="Z195" s="65" t="n">
        <f aca="false">IF(Z$5="A",Inputs_Actuals!Z110,Z74+Z75+Z76+Z77)</f>
        <v>1687.36610915587</v>
      </c>
      <c r="AA195" s="65" t="n">
        <f aca="false">IF(AA$5="A",Inputs_Actuals!AA110,AA74+AA75+AA76+AA77)</f>
        <v>1687.36618464735</v>
      </c>
      <c r="AB195" s="65" t="n">
        <f aca="false">IF(AB$5="A",Inputs_Actuals!AB110,AB74+AB75+AB76+AB77)</f>
        <v>1687.36620117268</v>
      </c>
    </row>
    <row r="196" customFormat="false" ht="15" hidden="false" customHeight="false" outlineLevel="0" collapsed="false">
      <c r="A196" s="28" t="s">
        <v>1285</v>
      </c>
      <c r="B196" s="62"/>
      <c r="C196" s="64" t="n">
        <f aca="false">SUM(E196:P196)</f>
        <v>87438.6610607056</v>
      </c>
      <c r="D196" s="64" t="n">
        <f aca="false">SUM(Q196:AB196)</f>
        <v>108138.042574021</v>
      </c>
      <c r="E196" s="65" t="n">
        <f aca="false">IF(E$5="A",Inputs_Actuals!E111,E100+E101+E102+E103)</f>
        <v>6538.52</v>
      </c>
      <c r="F196" s="65" t="n">
        <f aca="false">IF(F$5="A",Inputs_Actuals!F111,F100+F101+F102+F103)</f>
        <v>7124.55</v>
      </c>
      <c r="G196" s="65" t="n">
        <f aca="false">IF(G$5="A",Inputs_Actuals!G111,G100+G101+G102+G103)</f>
        <v>7120.81</v>
      </c>
      <c r="H196" s="65" t="n">
        <f aca="false">IF(H$5="A",Inputs_Actuals!H111,H100+H101+H102+H103)</f>
        <v>7495.61</v>
      </c>
      <c r="I196" s="65" t="n">
        <f aca="false">IF(I$5="A",Inputs_Actuals!I111,I100+I101+I102+I103)</f>
        <v>7494.91</v>
      </c>
      <c r="J196" s="65" t="n">
        <f aca="false">IF(J$5="A",Inputs_Actuals!J111,J100+J101+J102+J103)</f>
        <v>7525.81</v>
      </c>
      <c r="K196" s="65" t="n">
        <f aca="false">IF(K$5="A",Inputs_Actuals!K111,K100+K101+K102+K103)</f>
        <v>7298.54</v>
      </c>
      <c r="L196" s="65" t="n">
        <f aca="false">IF(L$5="A",Inputs_Actuals!L111,L100+L101+L102+L103)</f>
        <v>7283.75</v>
      </c>
      <c r="M196" s="65" t="n">
        <f aca="false">IF(M$5="A",Inputs_Actuals!M111,M100+M101+M102+M103)</f>
        <v>7181.0316</v>
      </c>
      <c r="N196" s="65" t="n">
        <f aca="false">IF(N$5="A",Inputs_Actuals!N111,N100+N101+N102+N103)</f>
        <v>7061.34774</v>
      </c>
      <c r="O196" s="65" t="n">
        <f aca="false">IF(O$5="A",Inputs_Actuals!O111,O100+O101+O102+O103)</f>
        <v>7660.88967766667</v>
      </c>
      <c r="P196" s="65" t="n">
        <f aca="false">IF(P$5="A",Inputs_Actuals!P111,P100+P101+P102+P103)</f>
        <v>7652.89204303889</v>
      </c>
      <c r="Q196" s="65" t="n">
        <f aca="false">IF(Q$5="A",Inputs_Actuals!Q111,Q100+Q101+Q102+Q103)</f>
        <v>8532.38010831504</v>
      </c>
      <c r="R196" s="65" t="n">
        <f aca="false">IF(R$5="A",Inputs_Actuals!R111,R100+R101+R102+R103)</f>
        <v>8910.32188533414</v>
      </c>
      <c r="S196" s="65" t="n">
        <f aca="false">IF(S$5="A",Inputs_Actuals!S111,S100+S101+S102+S103)</f>
        <v>8893.91270010585</v>
      </c>
      <c r="T196" s="65" t="n">
        <f aca="false">IF(T$5="A",Inputs_Actuals!T111,T100+T101+T102+T103)</f>
        <v>9094.23049024267</v>
      </c>
      <c r="U196" s="65" t="n">
        <f aca="false">IF(U$5="A",Inputs_Actuals!U111,U100+U101+U102+U103)</f>
        <v>9091.16534682752</v>
      </c>
      <c r="V196" s="65" t="n">
        <f aca="false">IF(V$5="A",Inputs_Actuals!V111,V100+V101+V102+V103)</f>
        <v>9087.8778027155</v>
      </c>
      <c r="W196" s="65" t="n">
        <f aca="false">IF(W$5="A",Inputs_Actuals!W111,W100+W101+W102+W103)</f>
        <v>9087.98368084095</v>
      </c>
      <c r="X196" s="65" t="n">
        <f aca="false">IF(X$5="A",Inputs_Actuals!X111,X100+X101+X102+X103)</f>
        <v>9088.03670860739</v>
      </c>
      <c r="Y196" s="65" t="n">
        <f aca="false">IF(Y$5="A",Inputs_Actuals!Y111,Y100+Y101+Y102+Y103)</f>
        <v>9088.03406017586</v>
      </c>
      <c r="Z196" s="65" t="n">
        <f aca="false">IF(Z$5="A",Inputs_Actuals!Z111,Z100+Z101+Z102+Z103)</f>
        <v>9088.03322052028</v>
      </c>
      <c r="AA196" s="65" t="n">
        <f aca="false">IF(AA$5="A",Inputs_Actuals!AA111,AA100+AA101+AA102+AA103)</f>
        <v>9088.03327865506</v>
      </c>
      <c r="AB196" s="65" t="n">
        <f aca="false">IF(AB$5="A",Inputs_Actuals!AB111,AB100+AB101+AB102+AB103)</f>
        <v>9088.03329168041</v>
      </c>
    </row>
    <row r="197" customFormat="false" ht="15" hidden="false" customHeight="false" outlineLevel="0" collapsed="false">
      <c r="A197" s="28" t="s">
        <v>1286</v>
      </c>
      <c r="B197" s="62"/>
      <c r="C197" s="64" t="n">
        <f aca="false">SUM(E197:P197)</f>
        <v>20049.2952662037</v>
      </c>
      <c r="D197" s="64" t="n">
        <f aca="false">SUM(Q197:AB197)</f>
        <v>24457.019698576</v>
      </c>
      <c r="E197" s="65" t="n">
        <f aca="false">IF(E$5="A",Inputs_Actuals!E112,E152+E153+E154+E155)</f>
        <v>1540</v>
      </c>
      <c r="F197" s="65" t="n">
        <f aca="false">IF(F$5="A",Inputs_Actuals!F112,F152+F153+F154+F155)</f>
        <v>1650</v>
      </c>
      <c r="G197" s="65" t="n">
        <f aca="false">IF(G$5="A",Inputs_Actuals!G112,G152+G153+G154+G155)</f>
        <v>1650</v>
      </c>
      <c r="H197" s="65" t="n">
        <f aca="false">IF(H$5="A",Inputs_Actuals!H112,H152+H153+H154+H155)</f>
        <v>1760</v>
      </c>
      <c r="I197" s="65" t="n">
        <f aca="false">IF(I$5="A",Inputs_Actuals!I112,I152+I153+I154+I155)</f>
        <v>1760</v>
      </c>
      <c r="J197" s="65" t="n">
        <f aca="false">IF(J$5="A",Inputs_Actuals!J112,J152+J153+J154+J155)</f>
        <v>1760</v>
      </c>
      <c r="K197" s="65" t="n">
        <f aca="false">IF(K$5="A",Inputs_Actuals!K112,K152+K153+K154+K155)</f>
        <v>1650</v>
      </c>
      <c r="L197" s="65" t="n">
        <f aca="false">IF(L$5="A",Inputs_Actuals!L112,L152+L153+L154+L155)</f>
        <v>1650</v>
      </c>
      <c r="M197" s="65" t="n">
        <f aca="false">IF(M$5="A",Inputs_Actuals!M112,M152+M153+M154+M155)</f>
        <v>1622.5</v>
      </c>
      <c r="N197" s="65" t="n">
        <f aca="false">IF(N$5="A",Inputs_Actuals!N112,N152+N153+N154+N155)</f>
        <v>1595.45833333333</v>
      </c>
      <c r="O197" s="65" t="n">
        <f aca="false">IF(O$5="A",Inputs_Actuals!O112,O152+O153+O154+O155)</f>
        <v>1706.36736111111</v>
      </c>
      <c r="P197" s="65" t="n">
        <f aca="false">IF(P$5="A",Inputs_Actuals!P112,P152+P153+P154+P155)</f>
        <v>1704.96957175926</v>
      </c>
      <c r="Q197" s="65" t="n">
        <f aca="false">IF(Q$5="A",Inputs_Actuals!Q112,Q152+Q153+Q154+Q155)</f>
        <v>1858.47299406346</v>
      </c>
      <c r="R197" s="65" t="n">
        <f aca="false">IF(R$5="A",Inputs_Actuals!R112,R152+R153+R154+R155)</f>
        <v>1969.39888658139</v>
      </c>
      <c r="S197" s="65" t="n">
        <f aca="false">IF(S$5="A",Inputs_Actuals!S112,S152+S153+S154+S155)</f>
        <v>1965.70213532259</v>
      </c>
      <c r="T197" s="65" t="n">
        <f aca="false">IF(T$5="A",Inputs_Actuals!T112,T152+T153+T154+T155)</f>
        <v>2076.66498296827</v>
      </c>
      <c r="U197" s="65" t="n">
        <f aca="false">IF(U$5="A",Inputs_Actuals!U112,U152+U153+U154+U155)</f>
        <v>2074.87721469515</v>
      </c>
      <c r="V197" s="65" t="n">
        <f aca="false">IF(V$5="A",Inputs_Actuals!V112,V152+V153+V154+V155)</f>
        <v>2073.05763003894</v>
      </c>
      <c r="W197" s="65" t="n">
        <f aca="false">IF(W$5="A",Inputs_Actuals!W112,W152+W153+W154+W155)</f>
        <v>2073.11775258776</v>
      </c>
      <c r="X197" s="65" t="n">
        <f aca="false">IF(X$5="A",Inputs_Actuals!X112,X152+X153+X154+X155)</f>
        <v>2073.14707695622</v>
      </c>
      <c r="Y197" s="65" t="n">
        <f aca="false">IF(Y$5="A",Inputs_Actuals!Y112,Y152+Y153+Y154+Y155)</f>
        <v>2073.14558617427</v>
      </c>
      <c r="Z197" s="65" t="n">
        <f aca="false">IF(Z$5="A",Inputs_Actuals!Z112,Z152+Z153+Z154+Z155)</f>
        <v>2073.14512228116</v>
      </c>
      <c r="AA197" s="65" t="n">
        <f aca="false">IF(AA$5="A",Inputs_Actuals!AA112,AA152+AA153+AA154+AA155)</f>
        <v>2073.14515485908</v>
      </c>
      <c r="AB197" s="65" t="n">
        <f aca="false">IF(AB$5="A",Inputs_Actuals!AB112,AB152+AB153+AB154+AB155)</f>
        <v>2073.14516204766</v>
      </c>
    </row>
    <row r="198" customFormat="false" ht="15" hidden="false" customHeight="false" outlineLevel="0" collapsed="false">
      <c r="A198" s="28" t="s">
        <v>1287</v>
      </c>
      <c r="B198" s="62"/>
      <c r="C198" s="64" t="n">
        <f aca="false">SUM(E198:P198)</f>
        <v>147564.267526389</v>
      </c>
      <c r="D198" s="64" t="n">
        <f aca="false">SUM(Q198:AB198)</f>
        <v>181112.48171099</v>
      </c>
      <c r="E198" s="65" t="n">
        <f aca="false">IF(E$5="A",Inputs_Actuals!E113,E113+E114+E115+E116)</f>
        <v>11147.69</v>
      </c>
      <c r="F198" s="65" t="n">
        <f aca="false">IF(F$5="A",Inputs_Actuals!F113,F113+F114+F115+F116)</f>
        <v>12052.95</v>
      </c>
      <c r="G198" s="65" t="n">
        <f aca="false">IF(G$5="A",Inputs_Actuals!G113,G113+G114+G115+G116)</f>
        <v>12052.95</v>
      </c>
      <c r="H198" s="65" t="n">
        <f aca="false">IF(H$5="A",Inputs_Actuals!H113,H113+H114+H115+H116)</f>
        <v>12809.26</v>
      </c>
      <c r="I198" s="65" t="n">
        <f aca="false">IF(I$5="A",Inputs_Actuals!I113,I113+I114+I115+I116)</f>
        <v>12809.26</v>
      </c>
      <c r="J198" s="65" t="n">
        <f aca="false">IF(J$5="A",Inputs_Actuals!J113,J113+J114+J115+J116)</f>
        <v>12809.26</v>
      </c>
      <c r="K198" s="65" t="n">
        <f aca="false">IF(K$5="A",Inputs_Actuals!K113,K113+K114+K115+K116)</f>
        <v>12248.25</v>
      </c>
      <c r="L198" s="65" t="n">
        <f aca="false">IF(L$5="A",Inputs_Actuals!L113,L113+L114+L115+L116)</f>
        <v>12248.25</v>
      </c>
      <c r="M198" s="65" t="n">
        <f aca="false">IF(M$5="A",Inputs_Actuals!M113,M113+M114+M115+M116)</f>
        <v>12044.1100416667</v>
      </c>
      <c r="N198" s="65" t="n">
        <f aca="false">IF(N$5="A",Inputs_Actuals!N113,N113+N114+N115+N116)</f>
        <v>11843.3748743056</v>
      </c>
      <c r="O198" s="65" t="n">
        <f aca="false">IF(O$5="A",Inputs_Actuals!O113,O113+O114+O115+O116)</f>
        <v>12755.3835847338</v>
      </c>
      <c r="P198" s="65" t="n">
        <f aca="false">IF(P$5="A",Inputs_Actuals!P113,P113+P114+P115+P116)</f>
        <v>12743.5290256827</v>
      </c>
      <c r="Q198" s="65" t="n">
        <f aca="false">IF(Q$5="A",Inputs_Actuals!Q113,Q113+Q114+Q115+Q116)</f>
        <v>14005.1798505549</v>
      </c>
      <c r="R198" s="65" t="n">
        <f aca="false">IF(R$5="A",Inputs_Actuals!R113,R113+R114+R115+R116)</f>
        <v>14766.3713177571</v>
      </c>
      <c r="S198" s="65" t="n">
        <f aca="false">IF(S$5="A",Inputs_Actuals!S113,S113+S114+S115+S116)</f>
        <v>14738.4474346948</v>
      </c>
      <c r="T198" s="65" t="n">
        <f aca="false">IF(T$5="A",Inputs_Actuals!T113,T113+T114+T115+T116)</f>
        <v>15304.0648916258</v>
      </c>
      <c r="U198" s="65" t="n">
        <f aca="false">IF(U$5="A",Inputs_Actuals!U113,U113+U114+U115+U116)</f>
        <v>15295.1033320613</v>
      </c>
      <c r="V198" s="65" t="n">
        <f aca="false">IF(V$5="A",Inputs_Actuals!V113,V113+V114+V115+V116)</f>
        <v>15285.8257337719</v>
      </c>
      <c r="W198" s="65" t="n">
        <f aca="false">IF(W$5="A",Inputs_Actuals!W113,W113+W114+W115+W116)</f>
        <v>15286.1297197361</v>
      </c>
      <c r="X198" s="65" t="n">
        <f aca="false">IF(X$5="A",Inputs_Actuals!X113,X113+X114+X115+X116)</f>
        <v>15286.2792799415</v>
      </c>
      <c r="Y198" s="65" t="n">
        <f aca="false">IF(Y$5="A",Inputs_Actuals!Y113,Y113+Y114+Y115+Y116)</f>
        <v>15286.2717208387</v>
      </c>
      <c r="Z198" s="65" t="n">
        <f aca="false">IF(Z$5="A",Inputs_Actuals!Z113,Z113+Z114+Z115+Z116)</f>
        <v>15286.2693541537</v>
      </c>
      <c r="AA198" s="65" t="n">
        <f aca="false">IF(AA$5="A",Inputs_Actuals!AA113,AA113+AA114+AA115+AA116)</f>
        <v>15286.2695195835</v>
      </c>
      <c r="AB198" s="65" t="n">
        <f aca="false">IF(AB$5="A",Inputs_Actuals!AB113,AB113+AB114+AB115+AB116)</f>
        <v>15286.269556271</v>
      </c>
    </row>
    <row r="199" customFormat="false" ht="15" hidden="false" customHeight="false" outlineLevel="0" collapsed="false">
      <c r="A199" s="28" t="s">
        <v>1288</v>
      </c>
      <c r="B199" s="62"/>
      <c r="C199" s="64" t="n">
        <f aca="false">SUM(E199:P199)</f>
        <v>58352.9801520906</v>
      </c>
      <c r="D199" s="64" t="n">
        <f aca="false">SUM(Q199:AB199)</f>
        <v>72145.298160835</v>
      </c>
      <c r="E199" s="65" t="n">
        <f aca="false">IF(E$5="A",Inputs_Actuals!E114,E126+E127+E128+E129)</f>
        <v>4359.42</v>
      </c>
      <c r="F199" s="65" t="n">
        <f aca="false">IF(F$5="A",Inputs_Actuals!F114,F126+F127+F128+F129)</f>
        <v>4756.72</v>
      </c>
      <c r="G199" s="65" t="n">
        <f aca="false">IF(G$5="A",Inputs_Actuals!G114,G126+G127+G128+G129)</f>
        <v>4756.72</v>
      </c>
      <c r="H199" s="65" t="n">
        <f aca="false">IF(H$5="A",Inputs_Actuals!H114,H126+H127+H128+H129)</f>
        <v>5005.76</v>
      </c>
      <c r="I199" s="65" t="n">
        <f aca="false">IF(I$5="A",Inputs_Actuals!I114,I126+I127+I128+I129)</f>
        <v>5005.76</v>
      </c>
      <c r="J199" s="65" t="n">
        <f aca="false">IF(J$5="A",Inputs_Actuals!J114,J126+J127+J128+J129)</f>
        <v>5005.76</v>
      </c>
      <c r="K199" s="65" t="n">
        <f aca="false">IF(K$5="A",Inputs_Actuals!K114,K126+K127+K128+K129)</f>
        <v>4872.09</v>
      </c>
      <c r="L199" s="65" t="n">
        <f aca="false">IF(L$5="A",Inputs_Actuals!L114,L126+L127+L128+L129)</f>
        <v>4872.09</v>
      </c>
      <c r="M199" s="65" t="n">
        <f aca="false">IF(M$5="A",Inputs_Actuals!M114,M126+M127+M128+M129)</f>
        <v>4790.89243333333</v>
      </c>
      <c r="N199" s="65" t="n">
        <f aca="false">IF(N$5="A",Inputs_Actuals!N114,N126+N127+N128+N129)</f>
        <v>4711.04422611111</v>
      </c>
      <c r="O199" s="65" t="n">
        <f aca="false">IF(O$5="A",Inputs_Actuals!O114,O126+O127+O128+O129)</f>
        <v>5111.02955567593</v>
      </c>
      <c r="P199" s="65" t="n">
        <f aca="false">IF(P$5="A",Inputs_Actuals!P114,P126+P127+P128+P129)</f>
        <v>5105.69393697022</v>
      </c>
      <c r="Q199" s="65" t="n">
        <f aca="false">IF(Q$5="A",Inputs_Actuals!Q114,Q126+Q127+Q128+Q129)</f>
        <v>5692.44292525848</v>
      </c>
      <c r="R199" s="65" t="n">
        <f aca="false">IF(R$5="A",Inputs_Actuals!R114,R126+R127+R128+R129)</f>
        <v>5944.59500249803</v>
      </c>
      <c r="S199" s="65" t="n">
        <f aca="false">IF(S$5="A",Inputs_Actuals!S114,S126+S127+S128+S129)</f>
        <v>5933.64746787073</v>
      </c>
      <c r="T199" s="65" t="n">
        <f aca="false">IF(T$5="A",Inputs_Actuals!T114,T126+T127+T128+T129)</f>
        <v>6067.30405882719</v>
      </c>
      <c r="U199" s="65" t="n">
        <f aca="false">IF(U$5="A",Inputs_Actuals!U114,U126+U127+U128+U129)</f>
        <v>6065.25890788837</v>
      </c>
      <c r="V199" s="65" t="n">
        <f aca="false">IF(V$5="A",Inputs_Actuals!V114,V126+V127+V128+V129)</f>
        <v>6063.06538388807</v>
      </c>
      <c r="W199" s="65" t="n">
        <f aca="false">IF(W$5="A",Inputs_Actuals!W114,W126+W127+W128+W129)</f>
        <v>6063.13602847039</v>
      </c>
      <c r="X199" s="65" t="n">
        <f aca="false">IF(X$5="A",Inputs_Actuals!X114,X126+X127+X128+X129)</f>
        <v>6063.17140979403</v>
      </c>
      <c r="Y199" s="65" t="n">
        <f aca="false">IF(Y$5="A",Inputs_Actuals!Y114,Y126+Y127+Y128+Y129)</f>
        <v>6063.16964269559</v>
      </c>
      <c r="Z199" s="65" t="n">
        <f aca="false">IF(Z$5="A",Inputs_Actuals!Z114,Z126+Z127+Z128+Z129)</f>
        <v>6063.16908245851</v>
      </c>
      <c r="AA199" s="65" t="n">
        <f aca="false">IF(AA$5="A",Inputs_Actuals!AA114,AA126+AA127+AA128+AA129)</f>
        <v>6063.16912124743</v>
      </c>
      <c r="AB199" s="65" t="n">
        <f aca="false">IF(AB$5="A",Inputs_Actuals!AB114,AB126+AB127+AB128+AB129)</f>
        <v>6063.16912993823</v>
      </c>
    </row>
    <row r="200" customFormat="false" ht="15" hidden="false" customHeight="false" outlineLevel="0" collapsed="false">
      <c r="A200" s="28" t="s">
        <v>1289</v>
      </c>
      <c r="B200" s="62"/>
      <c r="C200" s="64" t="n">
        <f aca="false">SUM(E200:P200)</f>
        <v>91325.4728896417</v>
      </c>
      <c r="D200" s="64" t="n">
        <f aca="false">SUM(Q200:AB200)</f>
        <v>111784.552590766</v>
      </c>
      <c r="E200" s="65" t="n">
        <f aca="false">IF(E$5="A",Inputs_Actuals!E115,E139+E140+E141+E142)</f>
        <v>6821.06</v>
      </c>
      <c r="F200" s="65" t="n">
        <f aca="false">IF(F$5="A",Inputs_Actuals!F115,F139+F140+F141+F142)</f>
        <v>7446.41</v>
      </c>
      <c r="G200" s="65" t="n">
        <f aca="false">IF(G$5="A",Inputs_Actuals!G115,G139+G140+G141+G142)</f>
        <v>7446.41</v>
      </c>
      <c r="H200" s="65" t="n">
        <f aca="false">IF(H$5="A",Inputs_Actuals!H115,H139+H140+H141+H142)</f>
        <v>7803.32</v>
      </c>
      <c r="I200" s="65" t="n">
        <f aca="false">IF(I$5="A",Inputs_Actuals!I115,I139+I140+I141+I142)</f>
        <v>7803.32</v>
      </c>
      <c r="J200" s="65" t="n">
        <f aca="false">IF(J$5="A",Inputs_Actuals!J115,J139+J140+J141+J142)</f>
        <v>7803.32</v>
      </c>
      <c r="K200" s="65" t="n">
        <f aca="false">IF(K$5="A",Inputs_Actuals!K115,K139+K140+K141+K142)</f>
        <v>7639.3</v>
      </c>
      <c r="L200" s="65" t="n">
        <f aca="false">IF(L$5="A",Inputs_Actuals!L115,L139+L140+L141+L142)</f>
        <v>7639.3</v>
      </c>
      <c r="M200" s="65" t="n">
        <f aca="false">IF(M$5="A",Inputs_Actuals!M115,M139+M140+M141+M142)</f>
        <v>7511.98170125</v>
      </c>
      <c r="N200" s="65" t="n">
        <f aca="false">IF(N$5="A",Inputs_Actuals!N115,N139+N140+N141+N142)</f>
        <v>7386.78200622917</v>
      </c>
      <c r="O200" s="65" t="n">
        <f aca="false">IF(O$5="A",Inputs_Actuals!O115,O139+O140+O141+O142)</f>
        <v>8016.33755654201</v>
      </c>
      <c r="P200" s="65" t="n">
        <f aca="false">IF(P$5="A",Inputs_Actuals!P115,P139+P140+P141+P142)</f>
        <v>8007.93162562048</v>
      </c>
      <c r="Q200" s="65" t="n">
        <f aca="false">IF(Q$5="A",Inputs_Actuals!Q115,Q139+Q140+Q141+Q142)</f>
        <v>8882.35075035647</v>
      </c>
      <c r="R200" s="65" t="n">
        <f aca="false">IF(R$5="A",Inputs_Actuals!R115,R139+R140+R141+R142)</f>
        <v>9239.60000470695</v>
      </c>
      <c r="S200" s="65" t="n">
        <f aca="false">IF(S$5="A",Inputs_Actuals!S115,S139+S140+S141+S142)</f>
        <v>9223.08750741561</v>
      </c>
      <c r="T200" s="65" t="n">
        <f aca="false">IF(T$5="A",Inputs_Actuals!T115,T139+T140+T141+T142)</f>
        <v>9386.34710146462</v>
      </c>
      <c r="U200" s="65" t="n">
        <f aca="false">IF(U$5="A",Inputs_Actuals!U115,U139+U140+U141+U142)</f>
        <v>9383.90131651866</v>
      </c>
      <c r="V200" s="65" t="n">
        <f aca="false">IF(V$5="A",Inputs_Actuals!V115,V139+V140+V141+V142)</f>
        <v>9381.22108636695</v>
      </c>
      <c r="W200" s="65" t="n">
        <f aca="false">IF(W$5="A",Inputs_Actuals!W115,W139+W140+W141+W142)</f>
        <v>9381.30651995191</v>
      </c>
      <c r="X200" s="65" t="n">
        <f aca="false">IF(X$5="A",Inputs_Actuals!X115,X139+X140+X141+X142)</f>
        <v>9381.34976656135</v>
      </c>
      <c r="Y200" s="65" t="n">
        <f aca="false">IF(Y$5="A",Inputs_Actuals!Y115,Y139+Y140+Y141+Y142)</f>
        <v>9381.34762189145</v>
      </c>
      <c r="Z200" s="65" t="n">
        <f aca="false">IF(Z$5="A",Inputs_Actuals!Z115,Z139+Z140+Z141+Z142)</f>
        <v>9381.34693685912</v>
      </c>
      <c r="AA200" s="65" t="n">
        <f aca="false">IF(AA$5="A",Inputs_Actuals!AA115,AA139+AA140+AA141+AA142)</f>
        <v>9381.34698402082</v>
      </c>
      <c r="AB200" s="65" t="n">
        <f aca="false">IF(AB$5="A",Inputs_Actuals!AB115,AB139+AB140+AB141+AB142)</f>
        <v>9381.346994652</v>
      </c>
    </row>
    <row r="201" customFormat="false" ht="15" hidden="false" customHeight="false" outlineLevel="0" collapsed="false">
      <c r="A201" s="28" t="s">
        <v>1290</v>
      </c>
      <c r="B201" s="62"/>
      <c r="C201" s="64" t="n">
        <f aca="false">SUM(E201:P201)</f>
        <v>700772.526762126</v>
      </c>
      <c r="D201" s="64" t="n">
        <f aca="false">SUM(Q201:AB201)</f>
        <v>862845.795521788</v>
      </c>
      <c r="E201" s="65" t="n">
        <f aca="false">IF(E$5="A",Inputs_Actuals!E116,E193-E198-E199-E200)</f>
        <v>53118.78</v>
      </c>
      <c r="F201" s="65" t="n">
        <f aca="false">IF(F$5="A",Inputs_Actuals!F116,F193-F198-F199-F200)</f>
        <v>57246.64</v>
      </c>
      <c r="G201" s="65" t="n">
        <f aca="false">IF(G$5="A",Inputs_Actuals!G116,G193-G198-G199-G200)</f>
        <v>57142.76</v>
      </c>
      <c r="H201" s="65" t="n">
        <f aca="false">IF(H$5="A",Inputs_Actuals!H116,H193-H198-H199-H200)</f>
        <v>60753.91</v>
      </c>
      <c r="I201" s="65" t="n">
        <f aca="false">IF(I$5="A",Inputs_Actuals!I116,I193-I198-I199-I200)</f>
        <v>60653.08</v>
      </c>
      <c r="J201" s="65" t="n">
        <f aca="false">IF(J$5="A",Inputs_Actuals!J116,J193-J198-J199-J200)</f>
        <v>60715.91</v>
      </c>
      <c r="K201" s="65" t="n">
        <f aca="false">IF(K$5="A",Inputs_Actuals!K116,K193-K198-K199-K200)</f>
        <v>57949.95</v>
      </c>
      <c r="L201" s="65" t="n">
        <f aca="false">IF(L$5="A",Inputs_Actuals!L116,L193-L198-L199-L200)</f>
        <v>58159.28</v>
      </c>
      <c r="M201" s="65" t="n">
        <f aca="false">IF(M$5="A",Inputs_Actuals!M116,M193-M198-M199-M200)</f>
        <v>57269.6824904167</v>
      </c>
      <c r="N201" s="65" t="n">
        <f aca="false">IF(N$5="A",Inputs_Actuals!N116,N193-N198-N199-N200)</f>
        <v>56315.1877822431</v>
      </c>
      <c r="O201" s="65" t="n">
        <f aca="false">IF(O$5="A",Inputs_Actuals!O116,O193-O198-O199-O200)</f>
        <v>60752.6983771223</v>
      </c>
      <c r="P201" s="65" t="n">
        <f aca="false">IF(P$5="A",Inputs_Actuals!P116,P193-P198-P199-P200)</f>
        <v>60694.6481123439</v>
      </c>
      <c r="Q201" s="65" t="n">
        <f aca="false">IF(Q$5="A",Inputs_Actuals!Q116,Q193-Q198-Q199-Q200)</f>
        <v>66983.6453183646</v>
      </c>
      <c r="R201" s="65" t="n">
        <f aca="false">IF(R$5="A",Inputs_Actuals!R116,R193-R198-R199-R200)</f>
        <v>70485.9007479351</v>
      </c>
      <c r="S201" s="65" t="n">
        <f aca="false">IF(S$5="A",Inputs_Actuals!S116,S193-S198-S199-S200)</f>
        <v>70353.149491395</v>
      </c>
      <c r="T201" s="65" t="n">
        <f aca="false">IF(T$5="A",Inputs_Actuals!T116,T193-T198-T199-T200)</f>
        <v>72845.8706318445</v>
      </c>
      <c r="U201" s="65" t="n">
        <f aca="false">IF(U$5="A",Inputs_Actuals!U116,U193-U198-U199-U200)</f>
        <v>72806.537800446</v>
      </c>
      <c r="V201" s="65" t="n">
        <f aca="false">IF(V$5="A",Inputs_Actuals!V116,V193-V198-V199-V200)</f>
        <v>72765.6479952952</v>
      </c>
      <c r="W201" s="65" t="n">
        <f aca="false">IF(W$5="A",Inputs_Actuals!W116,W193-W198-W199-W200)</f>
        <v>72766.9850392376</v>
      </c>
      <c r="X201" s="65" t="n">
        <f aca="false">IF(X$5="A",Inputs_Actuals!X116,X193-X198-X199-X200)</f>
        <v>72767.6442519244</v>
      </c>
      <c r="Y201" s="65" t="n">
        <f aca="false">IF(Y$5="A",Inputs_Actuals!Y116,Y193-Y198-Y199-Y200)</f>
        <v>72767.6109809807</v>
      </c>
      <c r="Z201" s="65" t="n">
        <f aca="false">IF(Z$5="A",Inputs_Actuals!Z116,Z193-Z198-Z199-Z200)</f>
        <v>72767.6005486183</v>
      </c>
      <c r="AA201" s="65" t="n">
        <f aca="false">IF(AA$5="A",Inputs_Actuals!AA116,AA193-AA198-AA199-AA200)</f>
        <v>72767.6012770067</v>
      </c>
      <c r="AB201" s="65" t="n">
        <f aca="false">IF(AB$5="A",Inputs_Actuals!AB116,AB193-AB198-AB199-AB200)</f>
        <v>72767.6014387396</v>
      </c>
    </row>
    <row r="202" customFormat="false" ht="15" hidden="false" customHeight="false" outlineLevel="0" collapsed="false">
      <c r="A202" s="28" t="s">
        <v>1291</v>
      </c>
      <c r="B202" s="62"/>
      <c r="C202" s="67" t="n">
        <f aca="false">P202</f>
        <v>7.89474608987654</v>
      </c>
      <c r="D202" s="67" t="n">
        <f aca="false">AB202</f>
        <v>8.88157922233901</v>
      </c>
      <c r="E202" s="80" t="n">
        <f aca="false">E20+E21</f>
        <v>7</v>
      </c>
      <c r="F202" s="80" t="n">
        <f aca="false">F20+F21</f>
        <v>7</v>
      </c>
      <c r="G202" s="80" t="n">
        <f aca="false">G20+G21</f>
        <v>8</v>
      </c>
      <c r="H202" s="80" t="n">
        <f aca="false">H20+H21</f>
        <v>8</v>
      </c>
      <c r="I202" s="80" t="n">
        <f aca="false">I20+I21</f>
        <v>8</v>
      </c>
      <c r="J202" s="80" t="n">
        <f aca="false">J20+J21</f>
        <v>8</v>
      </c>
      <c r="K202" s="80" t="n">
        <f aca="false">K20+K21</f>
        <v>8</v>
      </c>
      <c r="L202" s="80" t="n">
        <f aca="false">L20+L21</f>
        <v>8</v>
      </c>
      <c r="M202" s="80" t="n">
        <f aca="false">M20+M21</f>
        <v>7.94666666666667</v>
      </c>
      <c r="N202" s="80" t="n">
        <f aca="false">N20+N21</f>
        <v>7.89368888888889</v>
      </c>
      <c r="O202" s="80" t="n">
        <f aca="false">O20+O21</f>
        <v>7.89439762962963</v>
      </c>
      <c r="P202" s="80" t="n">
        <f aca="false">P20+P21</f>
        <v>7.89474608987654</v>
      </c>
      <c r="Q202" s="80" t="n">
        <f aca="false">Q20+Q21</f>
        <v>7.89473904186996</v>
      </c>
      <c r="R202" s="80" t="n">
        <f aca="false">R20+R21</f>
        <v>7.89473676578836</v>
      </c>
      <c r="S202" s="80" t="n">
        <f aca="false">S20+S21</f>
        <v>7.89473682794894</v>
      </c>
      <c r="T202" s="80" t="n">
        <f aca="false">T20+T21</f>
        <v>7.89473684270842</v>
      </c>
      <c r="U202" s="80" t="n">
        <f aca="false">U20+U21</f>
        <v>7.89473684219562</v>
      </c>
      <c r="V202" s="80" t="n">
        <f aca="false">V20+V21</f>
        <v>7.89473684210064</v>
      </c>
      <c r="W202" s="80" t="n">
        <f aca="false">W20+W21</f>
        <v>8.89473684210469</v>
      </c>
      <c r="X202" s="80" t="n">
        <f aca="false">X20+X21</f>
        <v>8.88807017543863</v>
      </c>
      <c r="Y202" s="80" t="n">
        <f aca="false">Y20+Y21</f>
        <v>8.88144795321638</v>
      </c>
      <c r="Z202" s="80" t="n">
        <f aca="false">Z20+Z21</f>
        <v>8.88153654580897</v>
      </c>
      <c r="AA202" s="80" t="n">
        <f aca="false">AA20+AA21</f>
        <v>8.88158010333983</v>
      </c>
      <c r="AB202" s="80" t="n">
        <f aca="false">AB20+AB21</f>
        <v>8.88157922233901</v>
      </c>
    </row>
    <row r="203" customFormat="false" ht="15" hidden="false" customHeight="false" outlineLevel="0" collapsed="false">
      <c r="A203" s="28" t="s">
        <v>1292</v>
      </c>
      <c r="B203" s="62"/>
      <c r="C203" s="64" t="n">
        <f aca="false">SUM(E203:P203)</f>
        <v>569347.331453498</v>
      </c>
      <c r="D203" s="64" t="n">
        <f aca="false">SUM(Q203:AB203)</f>
        <v>615034.260494876</v>
      </c>
      <c r="E203" s="65" t="n">
        <f aca="false">IF(E$5="A",Inputs_Actuals!E117,E52+E53)</f>
        <v>44038.84</v>
      </c>
      <c r="F203" s="65" t="n">
        <f aca="false">IF(F$5="A",Inputs_Actuals!F117,F52+F53)</f>
        <v>44160.07</v>
      </c>
      <c r="G203" s="65" t="n">
        <f aca="false">IF(G$5="A",Inputs_Actuals!G117,G52+G53)</f>
        <v>48481.69</v>
      </c>
      <c r="H203" s="65" t="n">
        <f aca="false">IF(H$5="A",Inputs_Actuals!H117,H52+H53)</f>
        <v>48284.21</v>
      </c>
      <c r="I203" s="65" t="n">
        <f aca="false">IF(I$5="A",Inputs_Actuals!I117,I52+I53)</f>
        <v>48232.1</v>
      </c>
      <c r="J203" s="65" t="n">
        <f aca="false">IF(J$5="A",Inputs_Actuals!J117,J52+J53)</f>
        <v>48300.51</v>
      </c>
      <c r="K203" s="65" t="n">
        <f aca="false">IF(K$5="A",Inputs_Actuals!K117,K52+K53)</f>
        <v>48343.52</v>
      </c>
      <c r="L203" s="65" t="n">
        <f aca="false">IF(L$5="A",Inputs_Actuals!L117,L52+L53)</f>
        <v>48411.5</v>
      </c>
      <c r="M203" s="65" t="n">
        <f aca="false">IF(M$5="A",Inputs_Actuals!M117,M52+M53)</f>
        <v>48011.1111111111</v>
      </c>
      <c r="N203" s="65" t="n">
        <f aca="false">IF(N$5="A",Inputs_Actuals!N117,N52+N53)</f>
        <v>47691.037037037</v>
      </c>
      <c r="O203" s="65" t="n">
        <f aca="false">IF(O$5="A",Inputs_Actuals!O117,O52+O53)</f>
        <v>47695.3190123457</v>
      </c>
      <c r="P203" s="65" t="n">
        <f aca="false">IF(P$5="A",Inputs_Actuals!P117,P52+P53)</f>
        <v>47697.4242930041</v>
      </c>
      <c r="Q203" s="65" t="n">
        <f aca="false">IF(Q$5="A",Inputs_Actuals!Q117,Q52+Q53)</f>
        <v>49128.3031626366</v>
      </c>
      <c r="R203" s="65" t="n">
        <f aca="false">IF(R$5="A",Inputs_Actuals!R117,R52+R53)</f>
        <v>49128.2889987705</v>
      </c>
      <c r="S203" s="65" t="n">
        <f aca="false">IF(S$5="A",Inputs_Actuals!S117,S52+S53)</f>
        <v>49128.2893855906</v>
      </c>
      <c r="T203" s="65" t="n">
        <f aca="false">IF(T$5="A",Inputs_Actuals!T117,T52+T53)</f>
        <v>49128.2894774376</v>
      </c>
      <c r="U203" s="65" t="n">
        <f aca="false">IF(U$5="A",Inputs_Actuals!U117,U52+U53)</f>
        <v>49128.2894742465</v>
      </c>
      <c r="V203" s="65" t="n">
        <f aca="false">IF(V$5="A",Inputs_Actuals!V117,V52+V53)</f>
        <v>49128.2894736554</v>
      </c>
      <c r="W203" s="65" t="n">
        <f aca="false">IF(W$5="A",Inputs_Actuals!W117,W52+W53)</f>
        <v>53419.9561403473</v>
      </c>
      <c r="X203" s="65" t="n">
        <f aca="false">IF(X$5="A",Inputs_Actuals!X117,X52+X53)</f>
        <v>53391.34502924</v>
      </c>
      <c r="Y203" s="65" t="n">
        <f aca="false">IF(Y$5="A",Inputs_Actuals!Y117,Y52+Y53)</f>
        <v>53362.9246588694</v>
      </c>
      <c r="Z203" s="65" t="n">
        <f aca="false">IF(Z$5="A",Inputs_Actuals!Z117,Z52+Z53)</f>
        <v>53363.3048687459</v>
      </c>
      <c r="AA203" s="65" t="n">
        <f aca="false">IF(AA$5="A",Inputs_Actuals!AA117,AA52+AA53)</f>
        <v>53363.4918031492</v>
      </c>
      <c r="AB203" s="65" t="n">
        <f aca="false">IF(AB$5="A",Inputs_Actuals!AB117,AB52+AB53)</f>
        <v>53363.4880221874</v>
      </c>
    </row>
    <row r="204" customFormat="false" ht="15" hidden="false" customHeight="false" outlineLevel="0" collapsed="false">
      <c r="A204" s="28" t="s">
        <v>1293</v>
      </c>
      <c r="B204" s="62"/>
      <c r="C204" s="64" t="n">
        <f aca="false">SUM(E204:P204)</f>
        <v>198597.718843059</v>
      </c>
      <c r="D204" s="64" t="n">
        <f aca="false">SUM(Q204:AB204)</f>
        <v>214514.141948895</v>
      </c>
      <c r="E204" s="65" t="n">
        <f aca="false">IF(E$5="A",Inputs_Actuals!E118,E91+E92)</f>
        <v>15411.81</v>
      </c>
      <c r="F204" s="65" t="n">
        <f aca="false">IF(F$5="A",Inputs_Actuals!F118,F91+F92)</f>
        <v>15436.28</v>
      </c>
      <c r="G204" s="65" t="n">
        <f aca="false">IF(G$5="A",Inputs_Actuals!G118,G91+G92)</f>
        <v>16921.53</v>
      </c>
      <c r="H204" s="65" t="n">
        <f aca="false">IF(H$5="A",Inputs_Actuals!H118,H91+H92)</f>
        <v>16868.15</v>
      </c>
      <c r="I204" s="65" t="n">
        <f aca="false">IF(I$5="A",Inputs_Actuals!I118,I91+I92)</f>
        <v>16906.94</v>
      </c>
      <c r="J204" s="65" t="n">
        <f aca="false">IF(J$5="A",Inputs_Actuals!J118,J91+J92)</f>
        <v>16873.59</v>
      </c>
      <c r="K204" s="65" t="n">
        <f aca="false">IF(K$5="A",Inputs_Actuals!K118,K91+K92)</f>
        <v>16802.42</v>
      </c>
      <c r="L204" s="65" t="n">
        <f aca="false">IF(L$5="A",Inputs_Actuals!L118,L91+L92)</f>
        <v>16818.28</v>
      </c>
      <c r="M204" s="65" t="n">
        <f aca="false">IF(M$5="A",Inputs_Actuals!M118,M91+M92)</f>
        <v>16722.3624947866</v>
      </c>
      <c r="N204" s="65" t="n">
        <f aca="false">IF(N$5="A",Inputs_Actuals!N118,N91+N92)</f>
        <v>16610.8800781547</v>
      </c>
      <c r="O204" s="65" t="n">
        <f aca="false">IF(O$5="A",Inputs_Actuals!O118,O91+O92)</f>
        <v>16612.3714984041</v>
      </c>
      <c r="P204" s="65" t="n">
        <f aca="false">IF(P$5="A",Inputs_Actuals!P118,P91+P92)</f>
        <v>16613.1047717133</v>
      </c>
      <c r="Q204" s="65" t="n">
        <f aca="false">IF(Q$5="A",Inputs_Actuals!Q118,Q91+Q92)</f>
        <v>17119.3236779523</v>
      </c>
      <c r="R204" s="65" t="n">
        <f aca="false">IF(R$5="A",Inputs_Actuals!R118,R91+R92)</f>
        <v>17119.3187423898</v>
      </c>
      <c r="S204" s="65" t="n">
        <f aca="false">IF(S$5="A",Inputs_Actuals!S118,S91+S92)</f>
        <v>17119.3188771818</v>
      </c>
      <c r="T204" s="65" t="n">
        <f aca="false">IF(T$5="A",Inputs_Actuals!T118,T91+T92)</f>
        <v>17119.3189091869</v>
      </c>
      <c r="U204" s="65" t="n">
        <f aca="false">IF(U$5="A",Inputs_Actuals!U118,U91+U92)</f>
        <v>17119.3189080749</v>
      </c>
      <c r="V204" s="65" t="n">
        <f aca="false">IF(V$5="A",Inputs_Actuals!V118,V91+V92)</f>
        <v>17119.318907869</v>
      </c>
      <c r="W204" s="65" t="n">
        <f aca="false">IF(W$5="A",Inputs_Actuals!W118,W91+W92)</f>
        <v>18648.1910456529</v>
      </c>
      <c r="X204" s="65" t="n">
        <f aca="false">IF(X$5="A",Inputs_Actuals!X118,X91+X92)</f>
        <v>18637.9985647357</v>
      </c>
      <c r="Y204" s="65" t="n">
        <f aca="false">IF(Y$5="A",Inputs_Actuals!Y118,Y91+Y92)</f>
        <v>18627.8740336899</v>
      </c>
      <c r="Z204" s="65" t="n">
        <f aca="false">IF(Z$5="A",Inputs_Actuals!Z118,Z91+Z92)</f>
        <v>18628.0094804363</v>
      </c>
      <c r="AA204" s="65" t="n">
        <f aca="false">IF(AA$5="A",Inputs_Actuals!AA118,AA91+AA92)</f>
        <v>18628.0760743317</v>
      </c>
      <c r="AB204" s="65" t="n">
        <f aca="false">IF(AB$5="A",Inputs_Actuals!AB118,AB91+AB92)</f>
        <v>18628.074727394</v>
      </c>
    </row>
    <row r="205" customFormat="false" ht="15" hidden="false" customHeight="false" outlineLevel="0" collapsed="false">
      <c r="A205" s="28" t="s">
        <v>1294</v>
      </c>
      <c r="B205" s="62"/>
      <c r="C205" s="64" t="n">
        <f aca="false">SUM(E205:P205)</f>
        <v>10597.4084554775</v>
      </c>
      <c r="D205" s="64" t="n">
        <f aca="false">SUM(Q205:AB205)</f>
        <v>11961.7498458834</v>
      </c>
      <c r="E205" s="65" t="n">
        <f aca="false">IF(E$5="A",Inputs_Actuals!E119,E78+E79)</f>
        <v>725.92</v>
      </c>
      <c r="F205" s="65" t="n">
        <f aca="false">IF(F$5="A",Inputs_Actuals!F119,F78+F79)</f>
        <v>725.92</v>
      </c>
      <c r="G205" s="65" t="n">
        <f aca="false">IF(G$5="A",Inputs_Actuals!G119,G78+G79)</f>
        <v>871.11</v>
      </c>
      <c r="H205" s="65" t="n">
        <f aca="false">IF(H$5="A",Inputs_Actuals!H119,H78+H79)</f>
        <v>871.11</v>
      </c>
      <c r="I205" s="65" t="n">
        <f aca="false">IF(I$5="A",Inputs_Actuals!I119,I78+I79)</f>
        <v>871.11</v>
      </c>
      <c r="J205" s="65" t="n">
        <f aca="false">IF(J$5="A",Inputs_Actuals!J119,J78+J79)</f>
        <v>939.39</v>
      </c>
      <c r="K205" s="65" t="n">
        <f aca="false">IF(K$5="A",Inputs_Actuals!K119,K78+K79)</f>
        <v>939.39</v>
      </c>
      <c r="L205" s="65" t="n">
        <f aca="false">IF(L$5="A",Inputs_Actuals!L119,L78+L79)</f>
        <v>939.39</v>
      </c>
      <c r="M205" s="65" t="n">
        <f aca="false">IF(M$5="A",Inputs_Actuals!M119,M78+M79)</f>
        <v>933.130927435587</v>
      </c>
      <c r="N205" s="65" t="n">
        <f aca="false">IF(N$5="A",Inputs_Actuals!N119,N78+N79)</f>
        <v>926.910054586016</v>
      </c>
      <c r="O205" s="65" t="n">
        <f aca="false">IF(O$5="A",Inputs_Actuals!O119,O78+O79)</f>
        <v>926.993277896174</v>
      </c>
      <c r="P205" s="65" t="n">
        <f aca="false">IF(P$5="A",Inputs_Actuals!P119,P78+P79)</f>
        <v>927.03419555977</v>
      </c>
      <c r="Q205" s="65" t="n">
        <f aca="false">IF(Q$5="A",Inputs_Actuals!Q119,Q78+Q79)</f>
        <v>919.902072123774</v>
      </c>
      <c r="R205" s="65" t="n">
        <f aca="false">IF(R$5="A",Inputs_Actuals!R119,R78+R79)</f>
        <v>919.901806912705</v>
      </c>
      <c r="S205" s="65" t="n">
        <f aca="false">IF(S$5="A",Inputs_Actuals!S119,S78+S79)</f>
        <v>919.901814155712</v>
      </c>
      <c r="T205" s="65" t="n">
        <f aca="false">IF(T$5="A",Inputs_Actuals!T119,T78+T79)</f>
        <v>919.901815875499</v>
      </c>
      <c r="U205" s="65" t="n">
        <f aca="false">IF(U$5="A",Inputs_Actuals!U119,U78+U79)</f>
        <v>919.901815815747</v>
      </c>
      <c r="V205" s="65" t="n">
        <f aca="false">IF(V$5="A",Inputs_Actuals!V119,V78+V79)</f>
        <v>919.90181580468</v>
      </c>
      <c r="W205" s="65" t="n">
        <f aca="false">IF(W$5="A",Inputs_Actuals!W119,W78+W79)</f>
        <v>1075.26301136337</v>
      </c>
      <c r="X205" s="65" t="n">
        <f aca="false">IF(X$5="A",Inputs_Actuals!X119,X78+X79)</f>
        <v>1074.22727005972</v>
      </c>
      <c r="Y205" s="65" t="n">
        <f aca="false">IF(Y$5="A",Inputs_Actuals!Y119,Y78+Y79)</f>
        <v>1073.19843369802</v>
      </c>
      <c r="Z205" s="65" t="n">
        <f aca="false">IF(Z$5="A",Inputs_Actuals!Z119,Z78+Z79)</f>
        <v>1073.21219754912</v>
      </c>
      <c r="AA205" s="65" t="n">
        <f aca="false">IF(AA$5="A",Inputs_Actuals!AA119,AA78+AA79)</f>
        <v>1073.21896469919</v>
      </c>
      <c r="AB205" s="65" t="n">
        <f aca="false">IF(AB$5="A",Inputs_Actuals!AB119,AB78+AB79)</f>
        <v>1073.21882782585</v>
      </c>
    </row>
    <row r="206" customFormat="false" ht="15" hidden="false" customHeight="false" outlineLevel="0" collapsed="false">
      <c r="A206" s="28" t="s">
        <v>1295</v>
      </c>
      <c r="B206" s="62"/>
      <c r="C206" s="64" t="n">
        <f aca="false">SUM(E206:P206)</f>
        <v>52310.8311402794</v>
      </c>
      <c r="D206" s="64" t="n">
        <f aca="false">SUM(Q206:AB206)</f>
        <v>55919.0146023977</v>
      </c>
      <c r="E206" s="65" t="n">
        <f aca="false">IF(E$5="A",Inputs_Actuals!E120,E104+E105)</f>
        <v>4145.81</v>
      </c>
      <c r="F206" s="65" t="n">
        <f aca="false">IF(F$5="A",Inputs_Actuals!F120,F104+F105)</f>
        <v>4147.51</v>
      </c>
      <c r="G206" s="65" t="n">
        <f aca="false">IF(G$5="A",Inputs_Actuals!G120,G104+G105)</f>
        <v>4421.57</v>
      </c>
      <c r="H206" s="65" t="n">
        <f aca="false">IF(H$5="A",Inputs_Actuals!H120,H104+H105)</f>
        <v>4418.95</v>
      </c>
      <c r="I206" s="65" t="n">
        <f aca="false">IF(I$5="A",Inputs_Actuals!I120,I104+I105)</f>
        <v>4423.95</v>
      </c>
      <c r="J206" s="65" t="n">
        <f aca="false">IF(J$5="A",Inputs_Actuals!J120,J104+J105)</f>
        <v>4425.14</v>
      </c>
      <c r="K206" s="65" t="n">
        <f aca="false">IF(K$5="A",Inputs_Actuals!K120,K104+K105)</f>
        <v>4425.64</v>
      </c>
      <c r="L206" s="65" t="n">
        <f aca="false">IF(L$5="A",Inputs_Actuals!L120,L104+L105)</f>
        <v>4433.12</v>
      </c>
      <c r="M206" s="65" t="n">
        <f aca="false">IF(M$5="A",Inputs_Actuals!M120,M104+M105)</f>
        <v>4388.98638222222</v>
      </c>
      <c r="N206" s="65" t="n">
        <f aca="false">IF(N$5="A",Inputs_Actuals!N120,N104+N105)</f>
        <v>4359.72647300741</v>
      </c>
      <c r="O206" s="65" t="n">
        <f aca="false">IF(O$5="A",Inputs_Actuals!O120,O104+O105)</f>
        <v>4360.11791429847</v>
      </c>
      <c r="P206" s="65" t="n">
        <f aca="false">IF(P$5="A",Inputs_Actuals!P120,P104+P105)</f>
        <v>4360.3103707513</v>
      </c>
      <c r="Q206" s="65" t="n">
        <f aca="false">IF(Q$5="A",Inputs_Actuals!Q120,Q104+Q105)</f>
        <v>4518.24862737132</v>
      </c>
      <c r="R206" s="65" t="n">
        <f aca="false">IF(R$5="A",Inputs_Actuals!R120,R104+R105)</f>
        <v>4518.24732474402</v>
      </c>
      <c r="S206" s="65" t="n">
        <f aca="false">IF(S$5="A",Inputs_Actuals!S120,S104+S105)</f>
        <v>4518.24736031923</v>
      </c>
      <c r="T206" s="65" t="n">
        <f aca="false">IF(T$5="A",Inputs_Actuals!T120,T104+T105)</f>
        <v>4518.24736876624</v>
      </c>
      <c r="U206" s="65" t="n">
        <f aca="false">IF(U$5="A",Inputs_Actuals!U120,U104+U105)</f>
        <v>4518.24736847276</v>
      </c>
      <c r="V206" s="65" t="n">
        <f aca="false">IF(V$5="A",Inputs_Actuals!V120,V104+V105)</f>
        <v>4518.24736841841</v>
      </c>
      <c r="W206" s="65" t="n">
        <f aca="false">IF(W$5="A",Inputs_Actuals!W120,W104+W105)</f>
        <v>4804.42470175406</v>
      </c>
      <c r="X206" s="65" t="n">
        <f aca="false">IF(X$5="A",Inputs_Actuals!X120,X104+X105)</f>
        <v>4802.51685286552</v>
      </c>
      <c r="Y206" s="65" t="n">
        <f aca="false">IF(Y$5="A",Inputs_Actuals!Y120,Y104+Y105)</f>
        <v>4800.6217229692</v>
      </c>
      <c r="Z206" s="65" t="n">
        <f aca="false">IF(Z$5="A",Inputs_Actuals!Z120,Z104+Z105)</f>
        <v>4800.6470761611</v>
      </c>
      <c r="AA206" s="65" t="n">
        <f aca="false">IF(AA$5="A",Inputs_Actuals!AA120,AA104+AA105)</f>
        <v>4800.65954133913</v>
      </c>
      <c r="AB206" s="65" t="n">
        <f aca="false">IF(AB$5="A",Inputs_Actuals!AB120,AB104+AB105)</f>
        <v>4800.65928921667</v>
      </c>
    </row>
    <row r="207" customFormat="false" ht="15" hidden="false" customHeight="false" outlineLevel="0" collapsed="false">
      <c r="A207" s="28" t="s">
        <v>1296</v>
      </c>
      <c r="B207" s="62"/>
      <c r="C207" s="64" t="n">
        <f aca="false">SUM(E207:P207)</f>
        <v>10299.2449202568</v>
      </c>
      <c r="D207" s="64" t="n">
        <f aca="false">SUM(Q207:AB207)</f>
        <v>11351.3739190479</v>
      </c>
      <c r="E207" s="65" t="n">
        <f aca="false">IF(E$5="A",Inputs_Actuals!E121,E156+E157)</f>
        <v>770</v>
      </c>
      <c r="F207" s="65" t="n">
        <f aca="false">IF(F$5="A",Inputs_Actuals!F121,F156+F157)</f>
        <v>770</v>
      </c>
      <c r="G207" s="65" t="n">
        <f aca="false">IF(G$5="A",Inputs_Actuals!G121,G156+G157)</f>
        <v>880</v>
      </c>
      <c r="H207" s="65" t="n">
        <f aca="false">IF(H$5="A",Inputs_Actuals!H121,H156+H157)</f>
        <v>880</v>
      </c>
      <c r="I207" s="65" t="n">
        <f aca="false">IF(I$5="A",Inputs_Actuals!I121,I156+I157)</f>
        <v>880</v>
      </c>
      <c r="J207" s="65" t="n">
        <f aca="false">IF(J$5="A",Inputs_Actuals!J121,J156+J157)</f>
        <v>880</v>
      </c>
      <c r="K207" s="65" t="n">
        <f aca="false">IF(K$5="A",Inputs_Actuals!K121,K156+K157)</f>
        <v>880</v>
      </c>
      <c r="L207" s="65" t="n">
        <f aca="false">IF(L$5="A",Inputs_Actuals!L121,L156+L157)</f>
        <v>880</v>
      </c>
      <c r="M207" s="65" t="n">
        <f aca="false">IF(M$5="A",Inputs_Actuals!M121,M156+M157)</f>
        <v>874.133333333333</v>
      </c>
      <c r="N207" s="65" t="n">
        <f aca="false">IF(N$5="A",Inputs_Actuals!N121,N156+N157)</f>
        <v>868.305777777778</v>
      </c>
      <c r="O207" s="65" t="n">
        <f aca="false">IF(O$5="A",Inputs_Actuals!O121,O156+O157)</f>
        <v>868.383739259259</v>
      </c>
      <c r="P207" s="65" t="n">
        <f aca="false">IF(P$5="A",Inputs_Actuals!P121,P156+P157)</f>
        <v>868.42206988642</v>
      </c>
      <c r="Q207" s="65" t="n">
        <f aca="false">IF(Q$5="A",Inputs_Actuals!Q121,Q156+Q157)</f>
        <v>890.131826970838</v>
      </c>
      <c r="R207" s="65" t="n">
        <f aca="false">IF(R$5="A",Inputs_Actuals!R121,R156+R157)</f>
        <v>890.131570342637</v>
      </c>
      <c r="S207" s="65" t="n">
        <f aca="false">IF(S$5="A",Inputs_Actuals!S121,S156+S157)</f>
        <v>890.131577351243</v>
      </c>
      <c r="T207" s="65" t="n">
        <f aca="false">IF(T$5="A",Inputs_Actuals!T121,T156+T157)</f>
        <v>890.131579015374</v>
      </c>
      <c r="U207" s="65" t="n">
        <f aca="false">IF(U$5="A",Inputs_Actuals!U121,U156+U157)</f>
        <v>890.131578957556</v>
      </c>
      <c r="V207" s="65" t="n">
        <f aca="false">IF(V$5="A",Inputs_Actuals!V121,V156+V157)</f>
        <v>890.131578946847</v>
      </c>
      <c r="W207" s="65" t="n">
        <f aca="false">IF(W$5="A",Inputs_Actuals!W121,W156+W157)</f>
        <v>1002.8815789473</v>
      </c>
      <c r="X207" s="65" t="n">
        <f aca="false">IF(X$5="A",Inputs_Actuals!X121,X156+X157)</f>
        <v>1002.12991228071</v>
      </c>
      <c r="Y207" s="65" t="n">
        <f aca="false">IF(Y$5="A",Inputs_Actuals!Y121,Y156+Y157)</f>
        <v>1001.38325672515</v>
      </c>
      <c r="Z207" s="65" t="n">
        <f aca="false">IF(Z$5="A",Inputs_Actuals!Z121,Z156+Z157)</f>
        <v>1001.39324553996</v>
      </c>
      <c r="AA207" s="65" t="n">
        <f aca="false">IF(AA$5="A",Inputs_Actuals!AA121,AA156+AA157)</f>
        <v>1001.39815665157</v>
      </c>
      <c r="AB207" s="65" t="n">
        <f aca="false">IF(AB$5="A",Inputs_Actuals!AB121,AB156+AB157)</f>
        <v>1001.39805731872</v>
      </c>
    </row>
    <row r="208" customFormat="false" ht="15" hidden="false" customHeight="false" outlineLevel="0" collapsed="false">
      <c r="A208" s="28" t="s">
        <v>1297</v>
      </c>
      <c r="B208" s="62"/>
      <c r="C208" s="64" t="n">
        <f aca="false">SUM(E208:P208)</f>
        <v>82419.6944357279</v>
      </c>
      <c r="D208" s="64" t="n">
        <f aca="false">SUM(Q208:AB208)</f>
        <v>89451.8676766722</v>
      </c>
      <c r="E208" s="65" t="n">
        <f aca="false">IF(E$5="A",Inputs_Actuals!E122,E117+E118)</f>
        <v>6320.28</v>
      </c>
      <c r="F208" s="65" t="n">
        <f aca="false">IF(F$5="A",Inputs_Actuals!F122,F117+F118)</f>
        <v>6320.28</v>
      </c>
      <c r="G208" s="65" t="n">
        <f aca="false">IF(G$5="A",Inputs_Actuals!G122,G117+G118)</f>
        <v>7010.38</v>
      </c>
      <c r="H208" s="65" t="n">
        <f aca="false">IF(H$5="A",Inputs_Actuals!H122,H117+H118)</f>
        <v>7010.38</v>
      </c>
      <c r="I208" s="65" t="n">
        <f aca="false">IF(I$5="A",Inputs_Actuals!I122,I117+I118)</f>
        <v>7010.38</v>
      </c>
      <c r="J208" s="65" t="n">
        <f aca="false">IF(J$5="A",Inputs_Actuals!J122,J117+J118)</f>
        <v>7010.38</v>
      </c>
      <c r="K208" s="65" t="n">
        <f aca="false">IF(K$5="A",Inputs_Actuals!K122,K117+K118)</f>
        <v>7010.38</v>
      </c>
      <c r="L208" s="65" t="n">
        <f aca="false">IF(L$5="A",Inputs_Actuals!L122,L117+L118)</f>
        <v>7010.38</v>
      </c>
      <c r="M208" s="65" t="n">
        <f aca="false">IF(M$5="A",Inputs_Actuals!M122,M117+M118)</f>
        <v>6963.64496111111</v>
      </c>
      <c r="N208" s="65" t="n">
        <f aca="false">IF(N$5="A",Inputs_Actuals!N122,N117+N118)</f>
        <v>6917.22066137037</v>
      </c>
      <c r="O208" s="65" t="n">
        <f aca="false">IF(O$5="A",Inputs_Actuals!O122,O117+O118)</f>
        <v>6917.84172918346</v>
      </c>
      <c r="P208" s="65" t="n">
        <f aca="false">IF(P$5="A",Inputs_Actuals!P122,P117+P118)</f>
        <v>6918.14708406298</v>
      </c>
      <c r="Q208" s="65" t="n">
        <f aca="false">IF(Q$5="A",Inputs_Actuals!Q122,Q117+Q118)</f>
        <v>7103.8139448444</v>
      </c>
      <c r="R208" s="65" t="n">
        <f aca="false">IF(R$5="A",Inputs_Actuals!R122,R117+R118)</f>
        <v>7103.81189678934</v>
      </c>
      <c r="S208" s="65" t="n">
        <f aca="false">IF(S$5="A",Inputs_Actuals!S122,S117+S118)</f>
        <v>7103.81195272244</v>
      </c>
      <c r="T208" s="65" t="n">
        <f aca="false">IF(T$5="A",Inputs_Actuals!T122,T117+T118)</f>
        <v>7103.81196600326</v>
      </c>
      <c r="U208" s="65" t="n">
        <f aca="false">IF(U$5="A",Inputs_Actuals!U122,U117+U118)</f>
        <v>7103.81196554183</v>
      </c>
      <c r="V208" s="65" t="n">
        <f aca="false">IF(V$5="A",Inputs_Actuals!V122,V117+V118)</f>
        <v>7103.81196545637</v>
      </c>
      <c r="W208" s="65" t="n">
        <f aca="false">IF(W$5="A",Inputs_Actuals!W122,W117+W118)</f>
        <v>7811.85019462668</v>
      </c>
      <c r="X208" s="65" t="n">
        <f aca="false">IF(X$5="A",Inputs_Actuals!X122,X117+X118)</f>
        <v>7807.12993976611</v>
      </c>
      <c r="Y208" s="65" t="n">
        <f aca="false">IF(Y$5="A",Inputs_Actuals!Y122,Y117+Y118)</f>
        <v>7802.44115327072</v>
      </c>
      <c r="Z208" s="65" t="n">
        <f aca="false">IF(Z$5="A",Inputs_Actuals!Z122,Z117+Z118)</f>
        <v>7802.50388021309</v>
      </c>
      <c r="AA208" s="65" t="n">
        <f aca="false">IF(AA$5="A",Inputs_Actuals!AA122,AA117+AA118)</f>
        <v>7802.53472061011</v>
      </c>
      <c r="AB208" s="65" t="n">
        <f aca="false">IF(AB$5="A",Inputs_Actuals!AB122,AB117+AB118)</f>
        <v>7802.53409682785</v>
      </c>
    </row>
    <row r="209" customFormat="false" ht="15" hidden="false" customHeight="false" outlineLevel="0" collapsed="false">
      <c r="A209" s="28" t="s">
        <v>1298</v>
      </c>
      <c r="B209" s="62"/>
      <c r="C209" s="64" t="n">
        <f aca="false">SUM(E209:P209)</f>
        <v>34870.5512147966</v>
      </c>
      <c r="D209" s="64" t="n">
        <f aca="false">SUM(Q209:AB209)</f>
        <v>37306.6364498711</v>
      </c>
      <c r="E209" s="65" t="n">
        <f aca="false">IF(E$5="A",Inputs_Actuals!E123,E130+E131)</f>
        <v>2764.63</v>
      </c>
      <c r="F209" s="65" t="n">
        <f aca="false">IF(F$5="A",Inputs_Actuals!F123,F130+F131)</f>
        <v>2764.63</v>
      </c>
      <c r="G209" s="65" t="n">
        <f aca="false">IF(G$5="A",Inputs_Actuals!G123,G130+G131)</f>
        <v>2947.78</v>
      </c>
      <c r="H209" s="65" t="n">
        <f aca="false">IF(H$5="A",Inputs_Actuals!H123,H130+H131)</f>
        <v>2947.78</v>
      </c>
      <c r="I209" s="65" t="n">
        <f aca="false">IF(I$5="A",Inputs_Actuals!I123,I130+I131)</f>
        <v>2947.78</v>
      </c>
      <c r="J209" s="65" t="n">
        <f aca="false">IF(J$5="A",Inputs_Actuals!J123,J130+J131)</f>
        <v>2947.78</v>
      </c>
      <c r="K209" s="65" t="n">
        <f aca="false">IF(K$5="A",Inputs_Actuals!K123,K130+K131)</f>
        <v>2947.78</v>
      </c>
      <c r="L209" s="65" t="n">
        <f aca="false">IF(L$5="A",Inputs_Actuals!L123,L130+L131)</f>
        <v>2947.78</v>
      </c>
      <c r="M209" s="65" t="n">
        <f aca="false">IF(M$5="A",Inputs_Actuals!M123,M130+M131)</f>
        <v>2928.13078222222</v>
      </c>
      <c r="N209" s="65" t="n">
        <f aca="false">IF(N$5="A",Inputs_Actuals!N123,N130+N131)</f>
        <v>2908.60991034074</v>
      </c>
      <c r="O209" s="65" t="n">
        <f aca="false">IF(O$5="A",Inputs_Actuals!O123,O130+O131)</f>
        <v>2908.87106204958</v>
      </c>
      <c r="P209" s="65" t="n">
        <f aca="false">IF(P$5="A",Inputs_Actuals!P123,P130+P131)</f>
        <v>2908.99946018407</v>
      </c>
      <c r="Q209" s="65" t="n">
        <f aca="false">IF(Q$5="A",Inputs_Actuals!Q123,Q130+Q131)</f>
        <v>3014.36597149219</v>
      </c>
      <c r="R209" s="65" t="n">
        <f aca="false">IF(R$5="A",Inputs_Actuals!R123,R130+R131)</f>
        <v>3014.36510243966</v>
      </c>
      <c r="S209" s="65" t="n">
        <f aca="false">IF(S$5="A",Inputs_Actuals!S123,S130+S131)</f>
        <v>3014.36512617379</v>
      </c>
      <c r="T209" s="65" t="n">
        <f aca="false">IF(T$5="A",Inputs_Actuals!T123,T130+T131)</f>
        <v>3014.36513180924</v>
      </c>
      <c r="U209" s="65" t="n">
        <f aca="false">IF(U$5="A",Inputs_Actuals!U123,U130+U131)</f>
        <v>3014.36513161345</v>
      </c>
      <c r="V209" s="65" t="n">
        <f aca="false">IF(V$5="A",Inputs_Actuals!V123,V130+V131)</f>
        <v>3014.36513157718</v>
      </c>
      <c r="W209" s="65" t="n">
        <f aca="false">IF(W$5="A",Inputs_Actuals!W123,W130+W131)</f>
        <v>3205.29996491206</v>
      </c>
      <c r="X209" s="65" t="n">
        <f aca="false">IF(X$5="A",Inputs_Actuals!X123,X130+X131)</f>
        <v>3204.0270660234</v>
      </c>
      <c r="Y209" s="65" t="n">
        <f aca="false">IF(Y$5="A",Inputs_Actuals!Y123,Y130+Y131)</f>
        <v>3202.7626531271</v>
      </c>
      <c r="Z209" s="65" t="n">
        <f aca="false">IF(Z$5="A",Inputs_Actuals!Z123,Z130+Z131)</f>
        <v>3202.779568539</v>
      </c>
      <c r="AA209" s="65" t="n">
        <f aca="false">IF(AA$5="A",Inputs_Actuals!AA123,AA130+AA131)</f>
        <v>3202.78788518889</v>
      </c>
      <c r="AB209" s="65" t="n">
        <f aca="false">IF(AB$5="A",Inputs_Actuals!AB123,AB130+AB131)</f>
        <v>3202.78771697515</v>
      </c>
    </row>
    <row r="210" customFormat="false" ht="15" hidden="false" customHeight="false" outlineLevel="0" collapsed="false">
      <c r="A210" s="28" t="s">
        <v>1299</v>
      </c>
      <c r="B210" s="62"/>
      <c r="C210" s="64" t="n">
        <f aca="false">SUM(E210:P210)</f>
        <v>65124.3765292626</v>
      </c>
      <c r="D210" s="64" t="n">
        <f aca="false">SUM(Q210:AB210)</f>
        <v>68684.4488629444</v>
      </c>
      <c r="E210" s="65" t="n">
        <f aca="false">IF(E$5="A",Inputs_Actuals!E124,E143+E144)</f>
        <v>5220.76</v>
      </c>
      <c r="F210" s="65" t="n">
        <f aca="false">IF(F$5="A",Inputs_Actuals!F124,F143+F144)</f>
        <v>5220.76</v>
      </c>
      <c r="G210" s="65" t="n">
        <f aca="false">IF(G$5="A",Inputs_Actuals!G124,G143+G144)</f>
        <v>5493.73</v>
      </c>
      <c r="H210" s="65" t="n">
        <f aca="false">IF(H$5="A",Inputs_Actuals!H124,H143+H144)</f>
        <v>5493.73</v>
      </c>
      <c r="I210" s="65" t="n">
        <f aca="false">IF(I$5="A",Inputs_Actuals!I124,I143+I144)</f>
        <v>5493.73</v>
      </c>
      <c r="J210" s="65" t="n">
        <f aca="false">IF(J$5="A",Inputs_Actuals!J124,J143+J144)</f>
        <v>5493.73</v>
      </c>
      <c r="K210" s="65" t="n">
        <f aca="false">IF(K$5="A",Inputs_Actuals!K124,K143+K144)</f>
        <v>5493.73</v>
      </c>
      <c r="L210" s="65" t="n">
        <f aca="false">IF(L$5="A",Inputs_Actuals!L124,L143+L144)</f>
        <v>5493.73</v>
      </c>
      <c r="M210" s="65" t="n">
        <f aca="false">IF(M$5="A",Inputs_Actuals!M124,M143+M144)</f>
        <v>5457.10146462222</v>
      </c>
      <c r="N210" s="65" t="n">
        <f aca="false">IF(N$5="A",Inputs_Actuals!N124,N143+N144)</f>
        <v>5420.72078819141</v>
      </c>
      <c r="O210" s="65" t="n">
        <f aca="false">IF(O$5="A",Inputs_Actuals!O124,O143+O144)</f>
        <v>5421.20749164791</v>
      </c>
      <c r="P210" s="65" t="n">
        <f aca="false">IF(P$5="A",Inputs_Actuals!P124,P143+P144)</f>
        <v>5421.44678480107</v>
      </c>
      <c r="Q210" s="65" t="n">
        <f aca="false">IF(Q$5="A",Inputs_Actuals!Q124,Q143+Q144)</f>
        <v>5584.50012183663</v>
      </c>
      <c r="R210" s="65" t="n">
        <f aca="false">IF(R$5="A",Inputs_Actuals!R124,R143+R144)</f>
        <v>5584.4985118052</v>
      </c>
      <c r="S210" s="65" t="n">
        <f aca="false">IF(S$5="A",Inputs_Actuals!S124,S143+S144)</f>
        <v>5584.49855577572</v>
      </c>
      <c r="T210" s="65" t="n">
        <f aca="false">IF(T$5="A",Inputs_Actuals!T124,T143+T144)</f>
        <v>5584.49856621613</v>
      </c>
      <c r="U210" s="65" t="n">
        <f aca="false">IF(U$5="A",Inputs_Actuals!U124,U143+U144)</f>
        <v>5584.49856585339</v>
      </c>
      <c r="V210" s="65" t="n">
        <f aca="false">IF(V$5="A",Inputs_Actuals!V124,V143+V144)</f>
        <v>5584.4985657862</v>
      </c>
      <c r="W210" s="65" t="n">
        <f aca="false">IF(W$5="A",Inputs_Actuals!W124,W143+W144)</f>
        <v>5865.6964791224</v>
      </c>
      <c r="X210" s="65" t="n">
        <f aca="false">IF(X$5="A",Inputs_Actuals!X124,X143+X144)</f>
        <v>5863.82182636728</v>
      </c>
      <c r="Y210" s="65" t="n">
        <f aca="false">IF(Y$5="A",Inputs_Actuals!Y124,Y143+Y144)</f>
        <v>5861.95967129674</v>
      </c>
      <c r="Z210" s="65" t="n">
        <f aca="false">IF(Z$5="A",Inputs_Actuals!Z124,Z143+Z144)</f>
        <v>5861.98458334891</v>
      </c>
      <c r="AA210" s="65" t="n">
        <f aca="false">IF(AA$5="A",Inputs_Actuals!AA124,AA143+AA144)</f>
        <v>5861.9968316357</v>
      </c>
      <c r="AB210" s="65" t="n">
        <f aca="false">IF(AB$5="A",Inputs_Actuals!AB124,AB143+AB144)</f>
        <v>5861.9965839001</v>
      </c>
    </row>
    <row r="211" customFormat="false" ht="15" hidden="false" customHeight="false" outlineLevel="0" collapsed="false">
      <c r="A211" s="28" t="s">
        <v>1300</v>
      </c>
      <c r="B211" s="62"/>
      <c r="C211" s="64" t="n">
        <f aca="false">SUM(E211:P211)</f>
        <v>386932.709273711</v>
      </c>
      <c r="D211" s="64" t="n">
        <f aca="false">SUM(Q211:AB211)</f>
        <v>419591.307505389</v>
      </c>
      <c r="E211" s="65" t="n">
        <f aca="false">IF(E$5="A",Inputs_Actuals!E125,E203-E208-E209-E210)</f>
        <v>29733.17</v>
      </c>
      <c r="F211" s="65" t="n">
        <f aca="false">IF(F$5="A",Inputs_Actuals!F125,F203-F208-F209-F210)</f>
        <v>29854.4</v>
      </c>
      <c r="G211" s="65" t="n">
        <f aca="false">IF(G$5="A",Inputs_Actuals!G125,G203-G208-G209-G210)</f>
        <v>33029.8</v>
      </c>
      <c r="H211" s="65" t="n">
        <f aca="false">IF(H$5="A",Inputs_Actuals!H125,H203-H208-H209-H210)</f>
        <v>32832.32</v>
      </c>
      <c r="I211" s="65" t="n">
        <f aca="false">IF(I$5="A",Inputs_Actuals!I125,I203-I208-I209-I210)</f>
        <v>32780.21</v>
      </c>
      <c r="J211" s="65" t="n">
        <f aca="false">IF(J$5="A",Inputs_Actuals!J125,J203-J208-J209-J210)</f>
        <v>32848.62</v>
      </c>
      <c r="K211" s="65" t="n">
        <f aca="false">IF(K$5="A",Inputs_Actuals!K125,K203-K208-K209-K210)</f>
        <v>32891.63</v>
      </c>
      <c r="L211" s="65" t="n">
        <f aca="false">IF(L$5="A",Inputs_Actuals!L125,L203-L208-L209-L210)</f>
        <v>32959.61</v>
      </c>
      <c r="M211" s="65" t="n">
        <f aca="false">IF(M$5="A",Inputs_Actuals!M125,M203-M208-M209-M210)</f>
        <v>32662.2339031556</v>
      </c>
      <c r="N211" s="65" t="n">
        <f aca="false">IF(N$5="A",Inputs_Actuals!N125,N203-N208-N209-N210)</f>
        <v>32444.4856771345</v>
      </c>
      <c r="O211" s="65" t="n">
        <f aca="false">IF(O$5="A",Inputs_Actuals!O125,O203-O208-O209-O210)</f>
        <v>32447.3987294647</v>
      </c>
      <c r="P211" s="65" t="n">
        <f aca="false">IF(P$5="A",Inputs_Actuals!P125,P203-P208-P209-P210)</f>
        <v>32448.830963956</v>
      </c>
      <c r="Q211" s="65" t="n">
        <f aca="false">IF(Q$5="A",Inputs_Actuals!Q125,Q203-Q208-Q209-Q210)</f>
        <v>33425.6231244634</v>
      </c>
      <c r="R211" s="65" t="n">
        <f aca="false">IF(R$5="A",Inputs_Actuals!R125,R203-R208-R209-R210)</f>
        <v>33425.6134877363</v>
      </c>
      <c r="S211" s="65" t="n">
        <f aca="false">IF(S$5="A",Inputs_Actuals!S125,S203-S208-S209-S210)</f>
        <v>33425.6137509187</v>
      </c>
      <c r="T211" s="65" t="n">
        <f aca="false">IF(T$5="A",Inputs_Actuals!T125,T203-T208-T209-T210)</f>
        <v>33425.613813409</v>
      </c>
      <c r="U211" s="65" t="n">
        <f aca="false">IF(U$5="A",Inputs_Actuals!U125,U203-U208-U209-U210)</f>
        <v>33425.6138112378</v>
      </c>
      <c r="V211" s="65" t="n">
        <f aca="false">IF(V$5="A",Inputs_Actuals!V125,V203-V208-V209-V210)</f>
        <v>33425.6138108357</v>
      </c>
      <c r="W211" s="65" t="n">
        <f aca="false">IF(W$5="A",Inputs_Actuals!W125,W203-W208-W209-W210)</f>
        <v>36537.1095016862</v>
      </c>
      <c r="X211" s="65" t="n">
        <f aca="false">IF(X$5="A",Inputs_Actuals!X125,X203-X208-X209-X210)</f>
        <v>36516.3661970832</v>
      </c>
      <c r="Y211" s="65" t="n">
        <f aca="false">IF(Y$5="A",Inputs_Actuals!Y125,Y203-Y208-Y209-Y210)</f>
        <v>36495.7611811749</v>
      </c>
      <c r="Z211" s="65" t="n">
        <f aca="false">IF(Z$5="A",Inputs_Actuals!Z125,Z203-Z208-Z209-Z210)</f>
        <v>36496.036836645</v>
      </c>
      <c r="AA211" s="65" t="n">
        <f aca="false">IF(AA$5="A",Inputs_Actuals!AA125,AA203-AA208-AA209-AA210)</f>
        <v>36496.1723657145</v>
      </c>
      <c r="AB211" s="65" t="n">
        <f aca="false">IF(AB$5="A",Inputs_Actuals!AB125,AB203-AB208-AB209-AB210)</f>
        <v>36496.1696244843</v>
      </c>
    </row>
    <row r="212" customFormat="false" ht="15" hidden="false" customHeight="false" outlineLevel="0" collapsed="false">
      <c r="A212" s="22" t="s">
        <v>1301</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row>
    <row r="213" customFormat="false" ht="15" hidden="false" customHeight="false" outlineLevel="0" collapsed="false">
      <c r="A213" s="28" t="s">
        <v>1302</v>
      </c>
      <c r="B213" s="62" t="s">
        <v>1303</v>
      </c>
      <c r="C213" s="67" t="n">
        <f aca="false">SUM(E213:P213)</f>
        <v>1917.4409180936</v>
      </c>
      <c r="D213" s="67" t="n">
        <f aca="false">SUM(Q213:AB213)</f>
        <v>2196.03522313308</v>
      </c>
      <c r="E213" s="68" t="n">
        <f aca="false">E22*Assumptions!$C$83/12</f>
        <v>147.916666666667</v>
      </c>
      <c r="F213" s="68" t="n">
        <f aca="false">F22*Assumptions!$C$83/12</f>
        <v>152.083333333333</v>
      </c>
      <c r="G213" s="68" t="n">
        <f aca="false">G22*Assumptions!$C$83/12</f>
        <v>158.333333333333</v>
      </c>
      <c r="H213" s="68" t="n">
        <f aca="false">H22*Assumptions!$C$83/12</f>
        <v>162.5</v>
      </c>
      <c r="I213" s="68" t="n">
        <f aca="false">I22*Assumptions!$C$83/12</f>
        <v>162.5</v>
      </c>
      <c r="J213" s="68" t="n">
        <f aca="false">J22*Assumptions!$C$83/12</f>
        <v>164.583333333333</v>
      </c>
      <c r="K213" s="68" t="n">
        <f aca="false">K22*Assumptions!$C$83/12</f>
        <v>162.5</v>
      </c>
      <c r="L213" s="68" t="n">
        <f aca="false">L22*Assumptions!$C$83/12</f>
        <v>160.416666666667</v>
      </c>
      <c r="M213" s="68" t="n">
        <f aca="false">M22*Assumptions!$C$83/12</f>
        <v>158.743055555556</v>
      </c>
      <c r="N213" s="68" t="n">
        <f aca="false">N22*Assumptions!$C$83/12</f>
        <v>161.255515046296</v>
      </c>
      <c r="O213" s="68" t="n">
        <f aca="false">O22*Assumptions!$C$83/12</f>
        <v>163.334004393326</v>
      </c>
      <c r="P213" s="68" t="n">
        <f aca="false">P22*Assumptions!$C$83/12</f>
        <v>163.275009765091</v>
      </c>
      <c r="Q213" s="68" t="n">
        <f aca="false">Q22*Assumptions!$C$83/12</f>
        <v>173.657734649912</v>
      </c>
      <c r="R213" s="68" t="n">
        <f aca="false">R22*Assumptions!$C$83/12</f>
        <v>175.629594480304</v>
      </c>
      <c r="S213" s="68" t="n">
        <f aca="false">S22*Assumptions!$C$83/12</f>
        <v>177.56724436504</v>
      </c>
      <c r="T213" s="68" t="n">
        <f aca="false">T22*Assumptions!$C$83/12</f>
        <v>181.685035340932</v>
      </c>
      <c r="U213" s="68" t="n">
        <f aca="false">U22*Assumptions!$C$83/12</f>
        <v>181.60948058084</v>
      </c>
      <c r="V213" s="68" t="n">
        <f aca="false">V22*Assumptions!$C$83/12</f>
        <v>183.633741926125</v>
      </c>
      <c r="W213" s="68" t="n">
        <f aca="false">W22*Assumptions!$C$83/12</f>
        <v>185.701605894886</v>
      </c>
      <c r="X213" s="68" t="n">
        <f aca="false">X22*Assumptions!$C$83/12</f>
        <v>185.671352513162</v>
      </c>
      <c r="Y213" s="68" t="n">
        <f aca="false">Y22*Assumptions!$C$83/12</f>
        <v>187.741137072896</v>
      </c>
      <c r="Z213" s="68" t="n">
        <f aca="false">Z22*Assumptions!$C$83/12</f>
        <v>187.724089295313</v>
      </c>
      <c r="AA213" s="68" t="n">
        <f aca="false">AA22*Assumptions!$C$83/12</f>
        <v>187.706960835767</v>
      </c>
      <c r="AB213" s="68" t="n">
        <f aca="false">AB22*Assumptions!$C$83/12</f>
        <v>187.7072461779</v>
      </c>
    </row>
    <row r="214" customFormat="false" ht="15" hidden="false" customHeight="false" outlineLevel="0" collapsed="false">
      <c r="A214" s="28" t="s">
        <v>1304</v>
      </c>
      <c r="B214" s="62" t="s">
        <v>1305</v>
      </c>
      <c r="C214" s="67" t="n">
        <f aca="false">SUM(E214:P214)</f>
        <v>1955.15205881205</v>
      </c>
      <c r="D214" s="67" t="n">
        <f aca="false">SUM(Q214:AB214)</f>
        <v>2203.8012021147</v>
      </c>
      <c r="E214" s="68" t="n">
        <f aca="false">IF(E$5="A",Inputs_Actuals!E140,E22*Assumptions!$C$83*Assumptions!E$214)</f>
        <v>70.3</v>
      </c>
      <c r="F214" s="68" t="n">
        <f aca="false">IF(F$5="A",Inputs_Actuals!F140,F22*Assumptions!$C$83*Assumptions!F$214)</f>
        <v>147.8</v>
      </c>
      <c r="G214" s="68" t="n">
        <f aca="false">IF(G$5="A",Inputs_Actuals!G140,G22*Assumptions!$C$83*Assumptions!G$214)</f>
        <v>70.6</v>
      </c>
      <c r="H214" s="68" t="n">
        <f aca="false">IF(H$5="A",Inputs_Actuals!H140,H22*Assumptions!$C$83*Assumptions!H$214)</f>
        <v>163.4</v>
      </c>
      <c r="I214" s="68" t="n">
        <f aca="false">IF(I$5="A",Inputs_Actuals!I140,I22*Assumptions!$C$83*Assumptions!I$214)</f>
        <v>178</v>
      </c>
      <c r="J214" s="68" t="n">
        <f aca="false">IF(J$5="A",Inputs_Actuals!J140,J22*Assumptions!$C$83*Assumptions!J$214)</f>
        <v>107.6</v>
      </c>
      <c r="K214" s="68" t="n">
        <f aca="false">IF(K$5="A",Inputs_Actuals!K140,K22*Assumptions!$C$83*Assumptions!K$214)</f>
        <v>292.7</v>
      </c>
      <c r="L214" s="68" t="n">
        <f aca="false">IF(L$5="A",Inputs_Actuals!L140,L22*Assumptions!$C$83*Assumptions!L$214)</f>
        <v>574.9</v>
      </c>
      <c r="M214" s="68" t="n">
        <f aca="false">IF(M$5="A",Inputs_Actuals!M140,M22*Assumptions!$C$83*Assumptions!M$214)</f>
        <v>57.1475</v>
      </c>
      <c r="N214" s="68" t="n">
        <f aca="false">IF(N$5="A",Inputs_Actuals!N140,N22*Assumptions!$C$83*Assumptions!N$214)</f>
        <v>96.7533090277778</v>
      </c>
      <c r="O214" s="68" t="n">
        <f aca="false">IF(O$5="A",Inputs_Actuals!O140,O22*Assumptions!$C$83*Assumptions!O$214)</f>
        <v>58.8002415815972</v>
      </c>
      <c r="P214" s="68" t="n">
        <f aca="false">IF(P$5="A",Inputs_Actuals!P140,P22*Assumptions!$C$83*Assumptions!P$214)</f>
        <v>137.151008202676</v>
      </c>
      <c r="Q214" s="68" t="n">
        <f aca="false">IF(Q$5="A",Inputs_Actuals!Q140,Q22*Assumptions!$C$83*Assumptions!Q$214)</f>
        <v>83.3557126319579</v>
      </c>
      <c r="R214" s="68" t="n">
        <f aca="false">IF(R$5="A",Inputs_Actuals!R140,R22*Assumptions!$C$83*Assumptions!R$214)</f>
        <v>168.604410701092</v>
      </c>
      <c r="S214" s="68" t="n">
        <f aca="false">IF(S$5="A",Inputs_Actuals!S140,S22*Assumptions!$C$83*Assumptions!S$214)</f>
        <v>85.2322772952192</v>
      </c>
      <c r="T214" s="68" t="n">
        <f aca="false">IF(T$5="A",Inputs_Actuals!T140,T22*Assumptions!$C$83*Assumptions!T$214)</f>
        <v>174.417633927295</v>
      </c>
      <c r="U214" s="68" t="n">
        <f aca="false">IF(U$5="A",Inputs_Actuals!U140,U22*Assumptions!$C$83*Assumptions!U$214)</f>
        <v>196.138239027308</v>
      </c>
      <c r="V214" s="68" t="n">
        <f aca="false">IF(V$5="A",Inputs_Actuals!V140,V22*Assumptions!$C$83*Assumptions!V$214)</f>
        <v>110.180245155675</v>
      </c>
      <c r="W214" s="68" t="n">
        <f aca="false">IF(W$5="A",Inputs_Actuals!W140,W22*Assumptions!$C$83*Assumptions!W$214)</f>
        <v>356.547083318181</v>
      </c>
      <c r="X214" s="68" t="n">
        <f aca="false">IF(X$5="A",Inputs_Actuals!X140,X22*Assumptions!$C$83*Assumptions!X$214)</f>
        <v>623.855744444226</v>
      </c>
      <c r="Y214" s="68" t="n">
        <f aca="false">IF(Y$5="A",Inputs_Actuals!Y140,Y22*Assumptions!$C$83*Assumptions!Y$214)</f>
        <v>67.5868093462424</v>
      </c>
      <c r="Z214" s="68" t="n">
        <f aca="false">IF(Z$5="A",Inputs_Actuals!Z140,Z22*Assumptions!$C$83*Assumptions!Z$214)</f>
        <v>112.634453577188</v>
      </c>
      <c r="AA214" s="68" t="n">
        <f aca="false">IF(AA$5="A",Inputs_Actuals!AA140,AA22*Assumptions!$C$83*Assumptions!AA$214)</f>
        <v>67.574505900876</v>
      </c>
      <c r="AB214" s="68" t="n">
        <f aca="false">IF(AB$5="A",Inputs_Actuals!AB140,AB22*Assumptions!$C$83*Assumptions!AB$214)</f>
        <v>157.674086789436</v>
      </c>
    </row>
    <row r="215" customFormat="false" ht="15" hidden="false" customHeight="false" outlineLevel="0" collapsed="false">
      <c r="A215" s="28" t="s">
        <v>1306</v>
      </c>
      <c r="B215" s="62"/>
      <c r="C215" s="67" t="n">
        <f aca="false">P215</f>
        <v>627.28885928155</v>
      </c>
      <c r="D215" s="67" t="n">
        <f aca="false">AB215</f>
        <v>619.522880299932</v>
      </c>
      <c r="E215" s="68" t="n">
        <f aca="false">Inputs_Actuals!$C$204+E213-E214</f>
        <v>742.616666666667</v>
      </c>
      <c r="F215" s="80" t="n">
        <f aca="false">E215+F213-F214</f>
        <v>746.9</v>
      </c>
      <c r="G215" s="80" t="n">
        <f aca="false">F215+G213-G214</f>
        <v>834.633333333333</v>
      </c>
      <c r="H215" s="80" t="n">
        <f aca="false">G215+H213-H214</f>
        <v>833.733333333334</v>
      </c>
      <c r="I215" s="80" t="n">
        <f aca="false">H215+I213-I214</f>
        <v>818.233333333334</v>
      </c>
      <c r="J215" s="80" t="n">
        <f aca="false">I215+J213-J214</f>
        <v>875.216666666667</v>
      </c>
      <c r="K215" s="80" t="n">
        <f aca="false">J215+K213-K214</f>
        <v>745.016666666667</v>
      </c>
      <c r="L215" s="80" t="n">
        <f aca="false">K215+L213-L214</f>
        <v>330.533333333333</v>
      </c>
      <c r="M215" s="80" t="n">
        <f aca="false">L215+M213-M214</f>
        <v>432.128888888889</v>
      </c>
      <c r="N215" s="80" t="n">
        <f aca="false">M215+N213-N214</f>
        <v>496.631094907407</v>
      </c>
      <c r="O215" s="80" t="n">
        <f aca="false">N215+O213-O214</f>
        <v>601.164857719136</v>
      </c>
      <c r="P215" s="80" t="n">
        <f aca="false">O215+P213-P214</f>
        <v>627.28885928155</v>
      </c>
      <c r="Q215" s="80" t="n">
        <f aca="false">P215+Q213-Q214</f>
        <v>717.590881299505</v>
      </c>
      <c r="R215" s="80" t="n">
        <f aca="false">Q215+R213-R214</f>
        <v>724.616065078717</v>
      </c>
      <c r="S215" s="80" t="n">
        <f aca="false">R215+S213-S214</f>
        <v>816.951032148538</v>
      </c>
      <c r="T215" s="80" t="n">
        <f aca="false">S215+T213-T214</f>
        <v>824.218433562175</v>
      </c>
      <c r="U215" s="80" t="n">
        <f aca="false">T215+U213-U214</f>
        <v>809.689675115708</v>
      </c>
      <c r="V215" s="80" t="n">
        <f aca="false">U215+V213-V214</f>
        <v>883.143171886157</v>
      </c>
      <c r="W215" s="80" t="n">
        <f aca="false">V215+W213-W214</f>
        <v>712.297694462862</v>
      </c>
      <c r="X215" s="80" t="n">
        <f aca="false">W215+X213-X214</f>
        <v>274.113302531798</v>
      </c>
      <c r="Y215" s="80" t="n">
        <f aca="false">X215+Y213-Y214</f>
        <v>394.267630258452</v>
      </c>
      <c r="Z215" s="80" t="n">
        <f aca="false">Y215+Z213-Z214</f>
        <v>469.357265976577</v>
      </c>
      <c r="AA215" s="80" t="n">
        <f aca="false">Z215+AA213-AA214</f>
        <v>589.489720911468</v>
      </c>
      <c r="AB215" s="80" t="n">
        <f aca="false">AA215+AB213-AB214</f>
        <v>619.522880299932</v>
      </c>
    </row>
    <row r="216" customFormat="false" ht="15" hidden="false" customHeight="false" outlineLevel="0" collapsed="false">
      <c r="A216" s="28" t="s">
        <v>1307</v>
      </c>
      <c r="B216" s="62"/>
      <c r="C216" s="71" t="n">
        <f aca="false">AVERAGE(E216:P216)</f>
        <v>409.242482642097</v>
      </c>
      <c r="D216" s="71" t="n">
        <f aca="false">AVERAGE(Q216:AB216)</f>
        <v>417.118853920158</v>
      </c>
      <c r="E216" s="72" t="n">
        <f aca="false">IF(E22=0,0,(E173+E183+E193+E203+E174+E184+E194+E204+E176+E186+E196+E206)/E22/Assumptions!$C$84)</f>
        <v>410.981703789883</v>
      </c>
      <c r="F216" s="72" t="n">
        <f aca="false">IF(F22=0,0,(F173+F183+F193+F203+F174+F184+F194+F204+F176+F186+F196+F206)/F22/Assumptions!$C$84)</f>
        <v>413.015101996953</v>
      </c>
      <c r="G216" s="72" t="n">
        <f aca="false">IF(G22=0,0,(G173+G183+G193+G203+G174+G184+G194+G204+G176+G186+G196+G206)/G22/Assumptions!$C$84)</f>
        <v>408.699262866442</v>
      </c>
      <c r="H216" s="72" t="n">
        <f aca="false">IF(H22=0,0,(H173+H183+H193+H203+H174+H184+H194+H204+H176+H186+H196+H206)/H22/Assumptions!$C$84)</f>
        <v>409.203211340267</v>
      </c>
      <c r="I216" s="72" t="n">
        <f aca="false">IF(I22=0,0,(I173+I183+I193+I203+I174+I184+I194+I204+I176+I186+I196+I206)/I22/Assumptions!$C$84)</f>
        <v>407.540662383302</v>
      </c>
      <c r="J216" s="72" t="n">
        <f aca="false">IF(J22=0,0,(J173+J183+J193+J203+J174+J184+J194+J204+J176+J186+J196+J206)/J22/Assumptions!$C$84)</f>
        <v>407.100015771673</v>
      </c>
      <c r="K216" s="72" t="n">
        <f aca="false">IF(K22=0,0,(K173+K183+K193+K203+K174+K184+K194+K204+K176+K186+K196+K206)/K22/Assumptions!$C$84)</f>
        <v>409.691544496113</v>
      </c>
      <c r="L216" s="72" t="n">
        <f aca="false">IF(L22=0,0,(L173+L183+L193+L203+L174+L184+L194+L204+L176+L186+L196+L206)/L22/Assumptions!$C$84)</f>
        <v>409.79407763441</v>
      </c>
      <c r="M216" s="72" t="n">
        <f aca="false">IF(M22=0,0,(M173+M183+M193+M203+M174+M184+M194+M204+M176+M186+M196+M206)/M22/Assumptions!$C$84)</f>
        <v>409.425452890778</v>
      </c>
      <c r="N216" s="72" t="n">
        <f aca="false">IF(N22=0,0,(N173+N183+N193+N203+N174+N184+N194+N204+N176+N186+N196+N206)/N22/Assumptions!$C$84)</f>
        <v>408.321792888471</v>
      </c>
      <c r="O216" s="72" t="n">
        <f aca="false">IF(O22=0,0,(O173+O183+O193+O203+O174+O184+O194+O204+O176+O186+O196+O206)/O22/Assumptions!$C$84)</f>
        <v>408.563644123079</v>
      </c>
      <c r="P216" s="72" t="n">
        <f aca="false">IF(P22=0,0,(P173+P183+P193+P203+P174+P184+P194+P204+P176+P186+P196+P206)/P22/Assumptions!$C$84)</f>
        <v>408.573321523794</v>
      </c>
      <c r="Q216" s="72" t="n">
        <f aca="false">IF(Q22=0,0,(Q173+Q183+Q193+Q203+Q174+Q184+Q194+Q204+Q176+Q186+Q196+Q206)/Q22/Assumptions!$C$84)</f>
        <v>421.246154691926</v>
      </c>
      <c r="R216" s="72" t="n">
        <f aca="false">IF(R22=0,0,(R173+R183+R193+R203+R174+R184+R194+R204+R176+R186+R196+R206)/R22/Assumptions!$C$84)</f>
        <v>420.161208668988</v>
      </c>
      <c r="S216" s="72" t="n">
        <f aca="false">IF(S22=0,0,(S173+S183+S193+S203+S174+S184+S194+S204+S176+S186+S196+S206)/S22/Assumptions!$C$84)</f>
        <v>420.538541483965</v>
      </c>
      <c r="T216" s="72" t="n">
        <f aca="false">IF(T22=0,0,(T173+T183+T193+T203+T174+T184+T194+T204+T176+T186+T196+T206)/T22/Assumptions!$C$84)</f>
        <v>416.788810270239</v>
      </c>
      <c r="U216" s="72" t="n">
        <f aca="false">IF(U22=0,0,(U173+U183+U193+U203+U174+U184+U194+U204+U176+U186+U196+U206)/U22/Assumptions!$C$84)</f>
        <v>416.840478839994</v>
      </c>
      <c r="V216" s="72" t="n">
        <f aca="false">IF(V22=0,0,(V173+V183+V193+V203+V174+V184+V194+V204+V176+V186+V196+V206)/V22/Assumptions!$C$84)</f>
        <v>416.755098359102</v>
      </c>
      <c r="W216" s="72" t="n">
        <f aca="false">IF(W22=0,0,(W173+W183+W193+W203+W174+W184+W194+W204+W176+W186+W196+W206)/W22/Assumptions!$C$84)</f>
        <v>415.240660211004</v>
      </c>
      <c r="X216" s="72" t="n">
        <f aca="false">IF(X22=0,0,(X173+X183+X193+X203+X174+X184+X194+X204+X176+X186+X196+X206)/X22/Assumptions!$C$84)</f>
        <v>415.250848014381</v>
      </c>
      <c r="Y216" s="72" t="n">
        <f aca="false">IF(Y22=0,0,(Y173+Y183+Y193+Y203+Y174+Y184+Y194+Y204+Y176+Y186+Y196+Y206)/Y22/Assumptions!$C$84)</f>
        <v>415.655277603041</v>
      </c>
      <c r="Z216" s="72" t="n">
        <f aca="false">IF(Z22=0,0,(Z173+Z183+Z193+Z203+Z174+Z184+Z194+Z204+Z176+Z186+Z196+Z206)/Z22/Assumptions!$C$84)</f>
        <v>415.651897921856</v>
      </c>
      <c r="AA216" s="72" t="n">
        <f aca="false">IF(AA22=0,0,(AA173+AA183+AA193+AA203+AA174+AA184+AA194+AA204+AA176+AA186+AA196+AA206)/AA22/Assumptions!$C$84)</f>
        <v>415.648607896691</v>
      </c>
      <c r="AB216" s="72" t="n">
        <f aca="false">IF(AB22=0,0,(AB173+AB183+AB193+AB203+AB174+AB184+AB194+AB204+AB176+AB186+AB196+AB206)/AB22/Assumptions!$C$84)</f>
        <v>415.648663080704</v>
      </c>
    </row>
    <row r="217" customFormat="false" ht="15" hidden="false" customHeight="false" outlineLevel="0" collapsed="false">
      <c r="A217" s="58" t="s">
        <v>1308</v>
      </c>
      <c r="B217" s="59" t="s">
        <v>1309</v>
      </c>
      <c r="C217" s="60" t="n">
        <f aca="false">P217</f>
        <v>256293.492791535</v>
      </c>
      <c r="D217" s="60" t="n">
        <f aca="false">AB217</f>
        <v>257503.856944574</v>
      </c>
      <c r="E217" s="60" t="n">
        <f aca="false">E215*E216</f>
        <v>305201.86292943</v>
      </c>
      <c r="F217" s="60" t="n">
        <f aca="false">F215*F216</f>
        <v>308480.979681524</v>
      </c>
      <c r="G217" s="60" t="n">
        <f aca="false">G215*G216</f>
        <v>341114.028097094</v>
      </c>
      <c r="H217" s="60" t="n">
        <f aca="false">H215*H216</f>
        <v>341166.357401426</v>
      </c>
      <c r="I217" s="60" t="n">
        <f aca="false">I215*I216</f>
        <v>333463.354650764</v>
      </c>
      <c r="J217" s="60" t="n">
        <f aca="false">J215*J216</f>
        <v>356300.718803631</v>
      </c>
      <c r="K217" s="60" t="n">
        <f aca="false">K215*K216</f>
        <v>305227.028842013</v>
      </c>
      <c r="L217" s="60" t="n">
        <f aca="false">L215*L216</f>
        <v>135450.60246076</v>
      </c>
      <c r="M217" s="60" t="n">
        <f aca="false">M215*M216</f>
        <v>176924.566040522</v>
      </c>
      <c r="N217" s="60" t="n">
        <f aca="false">N215*N216</f>
        <v>202785.299076757</v>
      </c>
      <c r="O217" s="60" t="n">
        <f aca="false">O215*O216</f>
        <v>245614.104988462</v>
      </c>
      <c r="P217" s="60" t="n">
        <f aca="false">P215*P216</f>
        <v>256293.492791535</v>
      </c>
      <c r="Q217" s="60" t="n">
        <f aca="false">Q215*Q216</f>
        <v>302282.399389407</v>
      </c>
      <c r="R217" s="60" t="n">
        <f aca="false">R215*R216</f>
        <v>304455.561724439</v>
      </c>
      <c r="S217" s="60" t="n">
        <f aca="false">S215*S216</f>
        <v>343559.395523566</v>
      </c>
      <c r="T217" s="60" t="n">
        <f aca="false">T215*T216</f>
        <v>343525.020327179</v>
      </c>
      <c r="U217" s="60" t="n">
        <f aca="false">U215*U216</f>
        <v>337511.43188703</v>
      </c>
      <c r="V217" s="60" t="n">
        <f aca="false">V215*V216</f>
        <v>368054.419464585</v>
      </c>
      <c r="W217" s="60" t="n">
        <f aca="false">W215*W216</f>
        <v>295774.964915535</v>
      </c>
      <c r="X217" s="60" t="n">
        <f aca="false">X215*X216</f>
        <v>113825.781328352</v>
      </c>
      <c r="Y217" s="60" t="n">
        <f aca="false">Y215*Y216</f>
        <v>163879.42130497</v>
      </c>
      <c r="Z217" s="60" t="n">
        <f aca="false">Z215*Z216</f>
        <v>195089.238406578</v>
      </c>
      <c r="AA217" s="60" t="n">
        <f aca="false">AA215*AA216</f>
        <v>245020.581866261</v>
      </c>
      <c r="AB217" s="60" t="n">
        <f aca="false">AB215*AB216</f>
        <v>257503.856944574</v>
      </c>
    </row>
    <row r="218" customFormat="false" ht="15" hidden="false" customHeight="false" outlineLevel="0" collapsed="false">
      <c r="A218" s="28" t="s">
        <v>1310</v>
      </c>
      <c r="B218" s="62"/>
      <c r="C218" s="64" t="n">
        <f aca="false">SUM(E218:P218)</f>
        <v>-7446.6572084651</v>
      </c>
      <c r="D218" s="64" t="n">
        <f aca="false">SUM(Q218:AB218)</f>
        <v>1210.36415303902</v>
      </c>
      <c r="E218" s="65" t="n">
        <f aca="false">E217-Inputs_Actuals!$C$199</f>
        <v>41461.7129294301</v>
      </c>
      <c r="F218" s="73" t="n">
        <f aca="false">F217-E217</f>
        <v>3279.11675209412</v>
      </c>
      <c r="G218" s="73" t="n">
        <f aca="false">G217-F217</f>
        <v>32633.0484155702</v>
      </c>
      <c r="H218" s="73" t="n">
        <f aca="false">H217-G217</f>
        <v>52.3293043310405</v>
      </c>
      <c r="I218" s="73" t="n">
        <f aca="false">I217-H217</f>
        <v>-7703.00275066175</v>
      </c>
      <c r="J218" s="73" t="n">
        <f aca="false">J217-I217</f>
        <v>22837.3641528674</v>
      </c>
      <c r="K218" s="73" t="n">
        <f aca="false">K217-J217</f>
        <v>-51073.6899616186</v>
      </c>
      <c r="L218" s="73" t="n">
        <f aca="false">L217-K217</f>
        <v>-169776.426381252</v>
      </c>
      <c r="M218" s="73" t="n">
        <f aca="false">M217-L217</f>
        <v>41473.9635797619</v>
      </c>
      <c r="N218" s="73" t="n">
        <f aca="false">N217-M217</f>
        <v>25860.7330362346</v>
      </c>
      <c r="O218" s="73" t="n">
        <f aca="false">O217-N217</f>
        <v>42828.8059117057</v>
      </c>
      <c r="P218" s="73" t="n">
        <f aca="false">P217-O217</f>
        <v>10679.3878030725</v>
      </c>
      <c r="Q218" s="73" t="n">
        <f aca="false">Q217-P217</f>
        <v>45988.9065978718</v>
      </c>
      <c r="R218" s="73" t="n">
        <f aca="false">R217-Q217</f>
        <v>2173.1623350326</v>
      </c>
      <c r="S218" s="73" t="n">
        <f aca="false">S217-R217</f>
        <v>39103.8337991267</v>
      </c>
      <c r="T218" s="73" t="n">
        <f aca="false">T217-S217</f>
        <v>-34.3751963872346</v>
      </c>
      <c r="U218" s="73" t="n">
        <f aca="false">U217-T217</f>
        <v>-6013.58844014845</v>
      </c>
      <c r="V218" s="73" t="n">
        <f aca="false">V217-U217</f>
        <v>30542.9875775544</v>
      </c>
      <c r="W218" s="73" t="n">
        <f aca="false">W217-V217</f>
        <v>-72279.4545490501</v>
      </c>
      <c r="X218" s="73" t="n">
        <f aca="false">X217-W217</f>
        <v>-181949.183587183</v>
      </c>
      <c r="Y218" s="73" t="n">
        <f aca="false">Y217-X217</f>
        <v>50053.6399766179</v>
      </c>
      <c r="Z218" s="73" t="n">
        <f aca="false">Z217-Y217</f>
        <v>31209.8171016079</v>
      </c>
      <c r="AA218" s="73" t="n">
        <f aca="false">AA217-Z217</f>
        <v>49931.3434596829</v>
      </c>
      <c r="AB218" s="73" t="n">
        <f aca="false">AB217-AA217</f>
        <v>12483.2750783135</v>
      </c>
    </row>
    <row r="219" customFormat="false" ht="15" hidden="false" customHeight="false" outlineLevel="0" collapsed="false">
      <c r="A219" s="22" t="s">
        <v>1311</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row>
    <row r="220" customFormat="false" ht="15" hidden="false" customHeight="false" outlineLevel="0" collapsed="false">
      <c r="A220" s="28" t="s">
        <v>1312</v>
      </c>
      <c r="B220" s="62" t="s">
        <v>1313</v>
      </c>
      <c r="C220" s="64" t="n">
        <f aca="false">SUM(E220:P220)</f>
        <v>-4201.90474642382</v>
      </c>
      <c r="D220" s="64" t="n">
        <f aca="false">SUM(Q220:AB220)</f>
        <v>2332.90840543631</v>
      </c>
      <c r="E220" s="73" t="n">
        <f aca="false">IF((E173+E183+E193+E203)=0,0,E218*E173/(E173+E183+E193+E203))</f>
        <v>25830.0666398844</v>
      </c>
      <c r="F220" s="73" t="n">
        <f aca="false">IF((F173+F183+F193+F203)=0,0,F218*F173/(F173+F183+F193+F203))</f>
        <v>2037.96404813885</v>
      </c>
      <c r="G220" s="73" t="n">
        <f aca="false">IF((G173+G183+G193+G203)=0,0,G218*G173/(G173+G183+G193+G203))</f>
        <v>20052.0689307903</v>
      </c>
      <c r="H220" s="73" t="n">
        <f aca="false">IF((H173+H183+H193+H203)=0,0,H218*H173/(H173+H183+H193+H203))</f>
        <v>32.1702921696642</v>
      </c>
      <c r="I220" s="73" t="n">
        <f aca="false">IF((I173+I183+I193+I203)=0,0,I218*I173/(I173+I183+I193+I203))</f>
        <v>-4648.83122492916</v>
      </c>
      <c r="J220" s="73" t="n">
        <f aca="false">IF((J173+J183+J193+J203)=0,0,J218*J173/(J173+J183+J193+J203))</f>
        <v>13893.3741606064</v>
      </c>
      <c r="K220" s="73" t="n">
        <f aca="false">IF((K173+K183+K193+K203)=0,0,K218*K173/(K173+K183+K193+K203))</f>
        <v>-31310.1224316449</v>
      </c>
      <c r="L220" s="73" t="n">
        <f aca="false">IF((L173+L183+L193+L203)=0,0,L218*L173/(L173+L183+L193+L203))</f>
        <v>-103210.59561807</v>
      </c>
      <c r="M220" s="73" t="n">
        <f aca="false">IF((M173+M183+M193+M203)=0,0,M218*M173/(M173+M183+M193+M203))</f>
        <v>25220.2100247313</v>
      </c>
      <c r="N220" s="73" t="n">
        <f aca="false">IF((N173+N183+N193+N203)=0,0,N218*N173/(N173+N183+N193+N203))</f>
        <v>15748.3843564605</v>
      </c>
      <c r="O220" s="73" t="n">
        <f aca="false">IF((O173+O183+O193+O203)=0,0,O218*O173/(O173+O183+O193+O203))</f>
        <v>25734.9773373557</v>
      </c>
      <c r="P220" s="73" t="n">
        <f aca="false">IF((P173+P183+P193+P203)=0,0,P218*P173/(P173+P183+P193+P203))</f>
        <v>6418.42873808267</v>
      </c>
      <c r="Q220" s="73" t="n">
        <f aca="false">IF((Q173+Q183+Q193+Q203)=0,0,Q218*Q173/(Q173+Q183+Q193+Q203))</f>
        <v>27763.1408614004</v>
      </c>
      <c r="R220" s="73" t="n">
        <f aca="false">IF((R173+R183+R193+R203)=0,0,R218*R173/(R173+R183+R193+R203))</f>
        <v>1299.70576937435</v>
      </c>
      <c r="S220" s="73" t="n">
        <f aca="false">IF((S173+S183+S193+S203)=0,0,S218*S173/(S173+S183+S193+S203))</f>
        <v>23589.3365301737</v>
      </c>
      <c r="T220" s="73" t="n">
        <f aca="false">IF((T173+T183+T193+T203)=0,0,T218*T173/(T173+T183+T193+T203))</f>
        <v>-20.4368081104149</v>
      </c>
      <c r="U220" s="73" t="n">
        <f aca="false">IF((U173+U183+U193+U203)=0,0,U218*U173/(U173+U183+U193+U203))</f>
        <v>-3575.67825481078</v>
      </c>
      <c r="V220" s="73" t="n">
        <f aca="false">IF((V173+V183+V193+V203)=0,0,V218*V173/(V173+V183+V193+V203))</f>
        <v>18300.1007037444</v>
      </c>
      <c r="W220" s="73" t="n">
        <f aca="false">IF((W173+W183+W193+W203)=0,0,W218*W173/(W173+W183+W193+W203))</f>
        <v>-42967.9107479451</v>
      </c>
      <c r="X220" s="73" t="n">
        <f aca="false">IF((X173+X183+X193+X203)=0,0,X218*X173/(X173+X183+X193+X203))</f>
        <v>-108161.85309174</v>
      </c>
      <c r="Y220" s="73" t="n">
        <f aca="false">IF((Y173+Y183+Y193+Y203)=0,0,Y218*Y173/(Y173+Y183+Y193+Y203))</f>
        <v>29999.3969044397</v>
      </c>
      <c r="Z220" s="73" t="n">
        <f aca="false">IF((Z173+Z183+Z193+Z203)=0,0,Z218*Z173/(Z173+Z183+Z193+Z203))</f>
        <v>18704.1968395907</v>
      </c>
      <c r="AA220" s="73" t="n">
        <f aca="false">IF((AA173+AA183+AA193+AA203)=0,0,AA218*AA173/(AA173+AA183+AA193+AA203))</f>
        <v>29922.110557766</v>
      </c>
      <c r="AB220" s="73" t="n">
        <f aca="false">IF((AB173+AB183+AB193+AB203)=0,0,AB218*AB173/(AB173+AB183+AB193+AB203))</f>
        <v>7480.79914155368</v>
      </c>
    </row>
    <row r="221" customFormat="false" ht="15" hidden="false" customHeight="false" outlineLevel="0" collapsed="false">
      <c r="A221" s="58" t="s">
        <v>1314</v>
      </c>
      <c r="B221" s="59"/>
      <c r="C221" s="60" t="n">
        <f aca="false">SUM(E221:P221)</f>
        <v>5060205.16134665</v>
      </c>
      <c r="D221" s="60" t="n">
        <f aca="false">SUM(Q221:AB221)</f>
        <v>5798415.74275821</v>
      </c>
      <c r="E221" s="60" t="n">
        <f aca="false">E173+E174+E176+E177+E220</f>
        <v>426416.046639884</v>
      </c>
      <c r="F221" s="60" t="n">
        <f aca="false">F173+F174+F176+F177+F220</f>
        <v>414775.524048139</v>
      </c>
      <c r="G221" s="60" t="n">
        <f aca="false">G173+G174+G176+G177+G220</f>
        <v>440616.24893079</v>
      </c>
      <c r="H221" s="60" t="n">
        <f aca="false">H173+H174+H176+H177+H220</f>
        <v>432126.20029217</v>
      </c>
      <c r="I221" s="60" t="n">
        <f aca="false">I173+I174+I176+I177+I220</f>
        <v>418070.228775071</v>
      </c>
      <c r="J221" s="60" t="n">
        <f aca="false">J173+J174+J176+J177+J220</f>
        <v>445030.254160606</v>
      </c>
      <c r="K221" s="60" t="n">
        <f aca="false">K173+K174+K176+K177+K220</f>
        <v>400259.687568355</v>
      </c>
      <c r="L221" s="60" t="n">
        <f aca="false">L173+L174+L176+L177+L220</f>
        <v>319302.30438193</v>
      </c>
      <c r="M221" s="60" t="n">
        <f aca="false">M173+M174+M176+M177+M220</f>
        <v>443282.376574731</v>
      </c>
      <c r="N221" s="60" t="n">
        <f aca="false">N173+N174+N176+N177+N220</f>
        <v>439921.229018544</v>
      </c>
      <c r="O221" s="60" t="n">
        <f aca="false">O173+O174+O176+O177+O220</f>
        <v>449886.175743922</v>
      </c>
      <c r="P221" s="60" t="n">
        <f aca="false">P173+P174+P176+P177+P220</f>
        <v>430518.885212511</v>
      </c>
      <c r="Q221" s="60" t="n">
        <f aca="false">Q173+Q174+Q176+Q177+Q220</f>
        <v>494710.596972007</v>
      </c>
      <c r="R221" s="60" t="n">
        <f aca="false">R173+R174+R176+R177+R220</f>
        <v>467996.371737218</v>
      </c>
      <c r="S221" s="60" t="n">
        <f aca="false">S173+S174+S176+S177+S220</f>
        <v>499918.686162853</v>
      </c>
      <c r="T221" s="60" t="n">
        <f aca="false">T173+T174+T176+T177+T220</f>
        <v>476230.730378552</v>
      </c>
      <c r="U221" s="60" t="n">
        <f aca="false">U173+U174+U176+U177+U220</f>
        <v>472595.868088361</v>
      </c>
      <c r="V221" s="60" t="n">
        <f aca="false">V173+V174+V176+V177+V220</f>
        <v>503352.783740996</v>
      </c>
      <c r="W221" s="60" t="n">
        <f aca="false">W173+W174+W176+W177+W220</f>
        <v>442011.426323885</v>
      </c>
      <c r="X221" s="60" t="n">
        <f aca="false">X173+X174+X176+X177+X220</f>
        <v>376744.085724017</v>
      </c>
      <c r="Y221" s="60" t="n">
        <f aca="false">Y173+Y174+Y176+Y177+Y220</f>
        <v>524788.37798871</v>
      </c>
      <c r="Z221" s="60" t="n">
        <f aca="false">Z173+Z174+Z176+Z177+Z220</f>
        <v>513411.430890424</v>
      </c>
      <c r="AA221" s="60" t="n">
        <f aca="false">AA173+AA174+AA176+AA177+AA220</f>
        <v>524547.667148307</v>
      </c>
      <c r="AB221" s="60" t="n">
        <f aca="false">AB173+AB174+AB176+AB177+AB220</f>
        <v>502107.717602876</v>
      </c>
    </row>
    <row r="222" customFormat="false" ht="15" hidden="false" customHeight="false" outlineLevel="0" collapsed="false">
      <c r="A222" s="28" t="s">
        <v>1315</v>
      </c>
      <c r="B222" s="62" t="s">
        <v>1313</v>
      </c>
      <c r="C222" s="64" t="n">
        <f aca="false">SUM(E222:P222)</f>
        <v>-1175.02443366002</v>
      </c>
      <c r="D222" s="64" t="n">
        <f aca="false">SUM(Q222:AB222)</f>
        <v>-277.082678752694</v>
      </c>
      <c r="E222" s="73" t="n">
        <f aca="false">IF((E173+E183+E193+E203)=0,0,E218*E183/(E173+E183+E193+E203))</f>
        <v>4257.9639939259</v>
      </c>
      <c r="F222" s="73" t="n">
        <f aca="false">IF((F173+F183+F193+F203)=0,0,F218*F183/(F173+F183+F193+F203))</f>
        <v>325.35920711832</v>
      </c>
      <c r="G222" s="73" t="n">
        <f aca="false">IF((G173+G183+G193+G203)=0,0,G218*G183/(G173+G183+G193+G203))</f>
        <v>3442.64208155959</v>
      </c>
      <c r="H222" s="73" t="n">
        <f aca="false">IF((H173+H183+H193+H203)=0,0,H218*H183/(H173+H183+H193+H203))</f>
        <v>5.38078072516696</v>
      </c>
      <c r="I222" s="73" t="n">
        <f aca="false">IF((I173+I183+I193+I203)=0,0,I218*I183/(I173+I183+I193+I203))</f>
        <v>-871.41771556869</v>
      </c>
      <c r="J222" s="73" t="n">
        <f aca="false">IF((J173+J183+J193+J203)=0,0,J218*J183/(J173+J183+J193+J203))</f>
        <v>2545.74276576038</v>
      </c>
      <c r="K222" s="73" t="n">
        <f aca="false">IF((K173+K183+K193+K203)=0,0,K218*K183/(K173+K183+K193+K203))</f>
        <v>-5738.94335301968</v>
      </c>
      <c r="L222" s="73" t="n">
        <f aca="false">IF((L173+L183+L193+L203)=0,0,L218*L183/(L173+L183+L193+L203))</f>
        <v>-19295.0001430131</v>
      </c>
      <c r="M222" s="73" t="n">
        <f aca="false">IF((M173+M183+M193+M203)=0,0,M218*M183/(M173+M183+M193+M203))</f>
        <v>4716.70234315648</v>
      </c>
      <c r="N222" s="73" t="n">
        <f aca="false">IF((N173+N183+N193+N203)=0,0,N218*N183/(N173+N183+N193+N203))</f>
        <v>3103.95294761735</v>
      </c>
      <c r="O222" s="73" t="n">
        <f aca="false">IF((O173+O183+O193+O203)=0,0,O218*O183/(O173+O183+O193+O203))</f>
        <v>5069.1779247583</v>
      </c>
      <c r="P222" s="73" t="n">
        <f aca="false">IF((P173+P183+P193+P203)=0,0,P218*P183/(P173+P183+P193+P203))</f>
        <v>1263.41473332001</v>
      </c>
      <c r="Q222" s="73" t="n">
        <f aca="false">IF((Q173+Q183+Q193+Q203)=0,0,Q218*Q183/(Q173+Q183+Q193+Q203))</f>
        <v>5533.93423205426</v>
      </c>
      <c r="R222" s="73" t="n">
        <f aca="false">IF((R173+R183+R193+R203)=0,0,R218*R183/(R173+R183+R193+R203))</f>
        <v>258.960681401006</v>
      </c>
      <c r="S222" s="73" t="n">
        <f aca="false">IF((S173+S183+S193+S203)=0,0,S218*S183/(S173+S183+S193+S203))</f>
        <v>4600.73204341038</v>
      </c>
      <c r="T222" s="73" t="n">
        <f aca="false">IF((T173+T183+T193+T203)=0,0,T218*T183/(T173+T183+T193+T203))</f>
        <v>-4.26919463773061</v>
      </c>
      <c r="U222" s="73" t="n">
        <f aca="false">IF((U173+U183+U193+U203)=0,0,U218*U183/(U173+U183+U193+U203))</f>
        <v>-746.46440636076</v>
      </c>
      <c r="V222" s="73" t="n">
        <f aca="false">IF((V173+V183+V193+V203)=0,0,V218*V183/(V173+V183+V193+V203))</f>
        <v>3747.46230378938</v>
      </c>
      <c r="W222" s="73" t="n">
        <f aca="false">IF((W173+W183+W193+W203)=0,0,W218*W183/(W173+W183+W193+W203))</f>
        <v>-8800.40130460624</v>
      </c>
      <c r="X222" s="73" t="n">
        <f aca="false">IF((X173+X183+X193+X203)=0,0,X218*X183/(X173+X183+X193+X203))</f>
        <v>-22156.5588568451</v>
      </c>
      <c r="Y222" s="73" t="n">
        <f aca="false">IF((Y173+Y183+Y193+Y203)=0,0,Y218*Y183/(Y173+Y183+Y193+Y203))</f>
        <v>6022.56935599821</v>
      </c>
      <c r="Z222" s="73" t="n">
        <f aca="false">IF((Z173+Z183+Z193+Z203)=0,0,Z218*Z183/(Z173+Z183+Z193+Z203))</f>
        <v>3755.60602119922</v>
      </c>
      <c r="AA222" s="73" t="n">
        <f aca="false">IF((AA173+AA183+AA193+AA203)=0,0,AA218*AA183/(AA173+AA183+AA193+AA203))</f>
        <v>6009.03684364881</v>
      </c>
      <c r="AB222" s="73" t="n">
        <f aca="false">IF((AB173+AB183+AB193+AB203)=0,0,AB218*AB183/(AB173+AB183+AB193+AB203))</f>
        <v>1502.30960219586</v>
      </c>
    </row>
    <row r="223" customFormat="false" ht="15" hidden="false" customHeight="false" outlineLevel="0" collapsed="false">
      <c r="A223" s="58" t="s">
        <v>1316</v>
      </c>
      <c r="B223" s="59"/>
      <c r="C223" s="60" t="n">
        <f aca="false">SUM(E223:P223)</f>
        <v>907248.01493052</v>
      </c>
      <c r="D223" s="60" t="n">
        <f aca="false">SUM(Q223:AB223)</f>
        <v>1156043.35913792</v>
      </c>
      <c r="E223" s="60" t="n">
        <f aca="false">E183+E184+E186+E187+E222</f>
        <v>69282.2839939259</v>
      </c>
      <c r="F223" s="60" t="n">
        <f aca="false">F183+F184+F186+F187+F222</f>
        <v>65313.6192071183</v>
      </c>
      <c r="G223" s="60" t="n">
        <f aca="false">G183+G184+G186+G187+G222</f>
        <v>74615.3620815596</v>
      </c>
      <c r="H223" s="60" t="n">
        <f aca="false">H183+H184+H186+H187+H222</f>
        <v>71399.9407807252</v>
      </c>
      <c r="I223" s="60" t="n">
        <f aca="false">I183+I184+I186+I187+I222</f>
        <v>77266.9322844313</v>
      </c>
      <c r="J223" s="60" t="n">
        <f aca="false">J183+J184+J186+J187+J222</f>
        <v>80438.9827657604</v>
      </c>
      <c r="K223" s="60" t="n">
        <f aca="false">K183+K184+K186+K187+K222</f>
        <v>72218.0166469803</v>
      </c>
      <c r="L223" s="60" t="n">
        <f aca="false">L183+L184+L186+L187+L222</f>
        <v>58681.5098569869</v>
      </c>
      <c r="M223" s="60" t="n">
        <f aca="false">M183+M184+M186+M187+M222</f>
        <v>81735.2513063725</v>
      </c>
      <c r="N223" s="60" t="n">
        <f aca="false">N183+N184+N186+N187+N222</f>
        <v>85448.7029791395</v>
      </c>
      <c r="O223" s="60" t="n">
        <f aca="false">O183+O184+O186+O187+O222</f>
        <v>87359.536922193</v>
      </c>
      <c r="P223" s="60" t="n">
        <f aca="false">P183+P184+P186+P187+P222</f>
        <v>83487.876105327</v>
      </c>
      <c r="Q223" s="60" t="n">
        <f aca="false">Q183+Q184+Q186+Q187+Q222</f>
        <v>97280.7796910012</v>
      </c>
      <c r="R223" s="60" t="n">
        <f aca="false">R183+R184+R186+R187+R222</f>
        <v>91919.118819257</v>
      </c>
      <c r="S223" s="60" t="n">
        <f aca="false">S183+S184+S186+S187+S222</f>
        <v>96174.4373927913</v>
      </c>
      <c r="T223" s="60" t="n">
        <f aca="false">T183+T184+T186+T187+T222</f>
        <v>98053.8666290876</v>
      </c>
      <c r="U223" s="60" t="n">
        <f aca="false">U183+U184+U186+U187+U222</f>
        <v>97231.6966962912</v>
      </c>
      <c r="V223" s="60" t="n">
        <f aca="false">V183+V184+V186+V187+V222</f>
        <v>101645.567709525</v>
      </c>
      <c r="W223" s="60" t="n">
        <f aca="false">W183+W184+W186+W187+W222</f>
        <v>89099.7044813547</v>
      </c>
      <c r="X223" s="60" t="n">
        <f aca="false">X183+X184+X186+X187+X222</f>
        <v>75744.5226205745</v>
      </c>
      <c r="Y223" s="60" t="n">
        <f aca="false">Y183+Y184+Y186+Y187+Y222</f>
        <v>103923.613632522</v>
      </c>
      <c r="Z223" s="60" t="n">
        <f aca="false">Z183+Z184+Z186+Z187+Z222</f>
        <v>101656.638566591</v>
      </c>
      <c r="AA223" s="60" t="n">
        <f aca="false">AA183+AA184+AA186+AA187+AA222</f>
        <v>103910.070000691</v>
      </c>
      <c r="AB223" s="60" t="n">
        <f aca="false">AB183+AB184+AB186+AB187+AB222</f>
        <v>99403.3428982313</v>
      </c>
    </row>
    <row r="224" customFormat="false" ht="15" hidden="false" customHeight="false" outlineLevel="0" collapsed="false">
      <c r="A224" s="28" t="s">
        <v>1317</v>
      </c>
      <c r="B224" s="62" t="s">
        <v>1313</v>
      </c>
      <c r="C224" s="64" t="n">
        <f aca="false">SUM(E224:P224)</f>
        <v>-1133.85744668044</v>
      </c>
      <c r="D224" s="64" t="n">
        <f aca="false">SUM(Q224:AB224)</f>
        <v>-283.769683880055</v>
      </c>
      <c r="E224" s="73" t="n">
        <f aca="false">IF((E173+E183+E193+E203)=0,0,E218*E193/(E173+E183+E193+E203))</f>
        <v>7181.68779294605</v>
      </c>
      <c r="F224" s="73" t="n">
        <f aca="false">IF((F173+F183+F193+F203)=0,0,F218*F193/(F173+F183+F193+F203))</f>
        <v>593.967879835574</v>
      </c>
      <c r="G224" s="73" t="n">
        <f aca="false">IF((G173+G183+G193+G203)=0,0,G218*G193/(G173+G183+G193+G203))</f>
        <v>5727.18685511016</v>
      </c>
      <c r="H224" s="73" t="n">
        <f aca="false">IF((H173+H183+H193+H203)=0,0,H218*H193/(H173+H183+H193+H203))</f>
        <v>9.47915235679095</v>
      </c>
      <c r="I224" s="73" t="n">
        <f aca="false">IF((I173+I183+I193+I203)=0,0,I218*I193/(I173+I183+I193+I203))</f>
        <v>-1400.03228698587</v>
      </c>
      <c r="J224" s="73" t="n">
        <f aca="false">IF((J173+J183+J193+J203)=0,0,J218*J193/(J173+J183+J193+J203))</f>
        <v>4102.86225945301</v>
      </c>
      <c r="K224" s="73" t="n">
        <f aca="false">IF((K173+K183+K193+K203)=0,0,K218*K193/(K173+K183+K193+K203))</f>
        <v>-8851.15138114586</v>
      </c>
      <c r="L224" s="73" t="n">
        <f aca="false">IF((L173+L183+L193+L203)=0,0,L218*L193/(L173+L183+L193+L203))</f>
        <v>-29845.6840580224</v>
      </c>
      <c r="M224" s="73" t="n">
        <f aca="false">IF((M173+M183+M193+M203)=0,0,M218*M193/(M173+M183+M193+M203))</f>
        <v>7263.99602938511</v>
      </c>
      <c r="N224" s="73" t="n">
        <f aca="false">IF((N173+N183+N193+N203)=0,0,N218*N193/(N173+N183+N193+N203))</f>
        <v>4396.09104518321</v>
      </c>
      <c r="O224" s="73" t="n">
        <f aca="false">IF((O173+O183+O193+O203)=0,0,O218*O193/(O173+O183+O193+O203))</f>
        <v>7755.19282608454</v>
      </c>
      <c r="P224" s="73" t="n">
        <f aca="false">IF((P173+P183+P193+P203)=0,0,P218*P193/(P173+P183+P193+P203))</f>
        <v>1932.54643911928</v>
      </c>
      <c r="Q224" s="73" t="n">
        <f aca="false">IF((Q173+Q183+Q193+Q203)=0,0,Q218*Q193/(Q173+Q183+Q193+Q203))</f>
        <v>8382.48142330341</v>
      </c>
      <c r="R224" s="73" t="n">
        <f aca="false">IF((R173+R183+R193+R203)=0,0,R218*R193/(R173+R183+R193+R203))</f>
        <v>412.649325059306</v>
      </c>
      <c r="S224" s="73" t="n">
        <f aca="false">IF((S173+S183+S193+S203)=0,0,S218*S193/(S173+S183+S193+S203))</f>
        <v>7324.3506861897</v>
      </c>
      <c r="T224" s="73" t="n">
        <f aca="false">IF((T173+T183+T193+T203)=0,0,T218*T193/(T173+T183+T193+T203))</f>
        <v>-6.55896572822913</v>
      </c>
      <c r="U224" s="73" t="n">
        <f aca="false">IF((U173+U183+U193+U203)=0,0,U218*U193/(U173+U183+U193+U203))</f>
        <v>-1147.18109016328</v>
      </c>
      <c r="V224" s="73" t="n">
        <f aca="false">IF((V173+V183+V193+V203)=0,0,V218*V193/(V173+V183+V193+V203))</f>
        <v>5760.82488948633</v>
      </c>
      <c r="W224" s="73" t="n">
        <f aca="false">IF((W173+W183+W193+W203)=0,0,W218*W193/(W173+W183+W193+W203))</f>
        <v>-13528.4653658401</v>
      </c>
      <c r="X224" s="73" t="n">
        <f aca="false">IF((X173+X183+X193+X203)=0,0,X218*X193/(X173+X183+X193+X203))</f>
        <v>-34060.2442811754</v>
      </c>
      <c r="Y224" s="73" t="n">
        <f aca="false">IF((Y173+Y183+Y193+Y203)=0,0,Y218*Y193/(Y173+Y183+Y193+Y203))</f>
        <v>9258.21442566921</v>
      </c>
      <c r="Z224" s="73" t="n">
        <f aca="false">IF((Z173+Z183+Z193+Z203)=0,0,Z218*Z193/(Z173+Z183+Z193+Z203))</f>
        <v>5773.3175395102</v>
      </c>
      <c r="AA224" s="73" t="n">
        <f aca="false">IF((AA173+AA183+AA193+AA203)=0,0,AA218*AA193/(AA173+AA183+AA193+AA203))</f>
        <v>9237.41141125479</v>
      </c>
      <c r="AB224" s="73" t="n">
        <f aca="false">IF((AB173+AB183+AB193+AB203)=0,0,AB218*AB193/(AB173+AB183+AB193+AB203))</f>
        <v>2309.43031855408</v>
      </c>
    </row>
    <row r="225" customFormat="false" ht="15" hidden="false" customHeight="false" outlineLevel="0" collapsed="false">
      <c r="A225" s="58" t="s">
        <v>1318</v>
      </c>
      <c r="B225" s="59"/>
      <c r="C225" s="60" t="n">
        <f aca="false">SUM(E225:P225)</f>
        <v>1458125.49917565</v>
      </c>
      <c r="D225" s="60" t="n">
        <f aca="false">SUM(Q225:AB225)</f>
        <v>1796074.91279338</v>
      </c>
      <c r="E225" s="60" t="n">
        <f aca="false">E193+E194+E196+E197+E224</f>
        <v>117339.047792946</v>
      </c>
      <c r="F225" s="60" t="n">
        <f aca="false">F193+F194+F196+F197+F224</f>
        <v>119737.007879836</v>
      </c>
      <c r="G225" s="60" t="n">
        <f aca="false">G193+G194+G196+G197+G224</f>
        <v>124740.48685511</v>
      </c>
      <c r="H225" s="60" t="n">
        <f aca="false">H193+H194+H196+H197+H224</f>
        <v>126309.399152357</v>
      </c>
      <c r="I225" s="60" t="n">
        <f aca="false">I193+I194+I196+I197+I224</f>
        <v>124729.247713014</v>
      </c>
      <c r="J225" s="60" t="n">
        <f aca="false">J193+J194+J196+J197+J224</f>
        <v>130210.232259453</v>
      </c>
      <c r="K225" s="60" t="n">
        <f aca="false">K193+K194+K196+K197+K224</f>
        <v>112235.728618854</v>
      </c>
      <c r="L225" s="60" t="n">
        <f aca="false">L193+L194+L196+L197+L224</f>
        <v>91370.3059419776</v>
      </c>
      <c r="M225" s="60" t="n">
        <f aca="false">M193+M194+M196+M197+M224</f>
        <v>126604.163150545</v>
      </c>
      <c r="N225" s="60" t="n">
        <f aca="false">N193+N194+N196+N197+N224</f>
        <v>121747.25538099</v>
      </c>
      <c r="O225" s="60" t="n">
        <f aca="false">O193+O194+O196+O197+O224</f>
        <v>134524.545286597</v>
      </c>
      <c r="P225" s="60" t="n">
        <f aca="false">P193+P194+P196+P197+P224</f>
        <v>128578.079143976</v>
      </c>
      <c r="Q225" s="60" t="n">
        <f aca="false">Q193+Q194+Q196+Q197+Q224</f>
        <v>148335.164122176</v>
      </c>
      <c r="R225" s="60" t="n">
        <f aca="false">R193+R194+R196+R197+R224</f>
        <v>147467.504651541</v>
      </c>
      <c r="S225" s="60" t="n">
        <f aca="false">S193+S194+S196+S197+S224</f>
        <v>154102.973550908</v>
      </c>
      <c r="T225" s="60" t="n">
        <f aca="false">T193+T194+T196+T197+T224</f>
        <v>151514.716791682</v>
      </c>
      <c r="U225" s="60" t="n">
        <f aca="false">U193+U194+U196+U197+U224</f>
        <v>150299.654326732</v>
      </c>
      <c r="V225" s="60" t="n">
        <f aca="false">V193+V194+V196+V197+V224</f>
        <v>157129.856763845</v>
      </c>
      <c r="W225" s="60" t="n">
        <f aca="false">W193+W194+W196+W197+W224</f>
        <v>137843.10390657</v>
      </c>
      <c r="X225" s="60" t="n">
        <f aca="false">X193+X194+X196+X197+X224</f>
        <v>117312.579426976</v>
      </c>
      <c r="Y225" s="60" t="n">
        <f aca="false">Y193+Y194+Y196+Y197+Y224</f>
        <v>160630.97493659</v>
      </c>
      <c r="Z225" s="60" t="n">
        <f aca="false">Z193+Z194+Z196+Z197+Z224</f>
        <v>157146.058196456</v>
      </c>
      <c r="AA225" s="60" t="n">
        <f aca="false">AA193+AA194+AA196+AA197+AA224</f>
        <v>160610.153452388</v>
      </c>
      <c r="AB225" s="60" t="n">
        <f aca="false">AB193+AB194+AB196+AB197+AB224</f>
        <v>153682.172667517</v>
      </c>
    </row>
    <row r="226" customFormat="false" ht="15" hidden="false" customHeight="false" outlineLevel="0" collapsed="false">
      <c r="A226" s="28" t="s">
        <v>1319</v>
      </c>
      <c r="B226" s="62" t="s">
        <v>1313</v>
      </c>
      <c r="C226" s="64" t="n">
        <f aca="false">SUM(E226:P226)</f>
        <v>-935.870581700838</v>
      </c>
      <c r="D226" s="64" t="n">
        <f aca="false">SUM(Q226:AB226)</f>
        <v>-561.691889764569</v>
      </c>
      <c r="E226" s="73" t="n">
        <f aca="false">IF((E173+E183+E193+E203)=0,0,E218*E203/(E173+E183+E193+E203))</f>
        <v>4191.99450267379</v>
      </c>
      <c r="F226" s="73" t="n">
        <f aca="false">IF((F173+F183+F193+F203)=0,0,F218*F203/(F173+F183+F193+F203))</f>
        <v>321.825617001378</v>
      </c>
      <c r="G226" s="73" t="n">
        <f aca="false">IF((G173+G183+G193+G203)=0,0,G218*G203/(G173+G183+G193+G203))</f>
        <v>3411.15054811009</v>
      </c>
      <c r="H226" s="73" t="n">
        <f aca="false">IF((H173+H183+H193+H203)=0,0,H218*H203/(H173+H183+H193+H203))</f>
        <v>5.29907907941832</v>
      </c>
      <c r="I226" s="73" t="n">
        <f aca="false">IF((I173+I183+I193+I203)=0,0,I218*I203/(I173+I183+I193+I203))</f>
        <v>-782.721523178028</v>
      </c>
      <c r="J226" s="73" t="n">
        <f aca="false">IF((J173+J183+J193+J203)=0,0,J218*J203/(J173+J183+J193+J203))</f>
        <v>2295.38496704764</v>
      </c>
      <c r="K226" s="73" t="n">
        <f aca="false">IF((K173+K183+K193+K203)=0,0,K218*K203/(K173+K183+K193+K203))</f>
        <v>-5173.47279580823</v>
      </c>
      <c r="L226" s="73" t="n">
        <f aca="false">IF((L173+L183+L193+L203)=0,0,L218*L203/(L173+L183+L193+L203))</f>
        <v>-17425.1465621471</v>
      </c>
      <c r="M226" s="73" t="n">
        <f aca="false">IF((M173+M183+M193+M203)=0,0,M218*M203/(M173+M183+M193+M203))</f>
        <v>4273.05518248902</v>
      </c>
      <c r="N226" s="73" t="n">
        <f aca="false">IF((N173+N183+N193+N203)=0,0,N218*N203/(N173+N183+N193+N203))</f>
        <v>2612.30468697359</v>
      </c>
      <c r="O226" s="73" t="n">
        <f aca="false">IF((O173+O183+O193+O203)=0,0,O218*O203/(O173+O183+O193+O203))</f>
        <v>4269.4578235071</v>
      </c>
      <c r="P226" s="73" t="n">
        <f aca="false">IF((P173+P183+P193+P203)=0,0,P218*P203/(P173+P183+P193+P203))</f>
        <v>1064.99789255053</v>
      </c>
      <c r="Q226" s="73" t="n">
        <f aca="false">IF((Q173+Q183+Q193+Q203)=0,0,Q218*Q203/(Q173+Q183+Q193+Q203))</f>
        <v>4309.35008111376</v>
      </c>
      <c r="R226" s="73" t="n">
        <f aca="false">IF((R173+R183+R193+R203)=0,0,R218*R203/(R173+R183+R193+R203))</f>
        <v>201.846559197937</v>
      </c>
      <c r="S226" s="73" t="n">
        <f aca="false">IF((S173+S183+S193+S203)=0,0,S218*S203/(S173+S183+S193+S203))</f>
        <v>3589.41453935292</v>
      </c>
      <c r="T226" s="73" t="n">
        <f aca="false">IF((T173+T183+T193+T203)=0,0,T218*T203/(T173+T183+T193+T203))</f>
        <v>-3.11022791085993</v>
      </c>
      <c r="U226" s="73" t="n">
        <f aca="false">IF((U173+U183+U193+U203)=0,0,U218*U203/(U173+U183+U193+U203))</f>
        <v>-544.264688813634</v>
      </c>
      <c r="V226" s="73" t="n">
        <f aca="false">IF((V173+V183+V193+V203)=0,0,V218*V203/(V173+V183+V193+V203))</f>
        <v>2734.59968053433</v>
      </c>
      <c r="W226" s="73" t="n">
        <f aca="false">IF((W173+W183+W193+W203)=0,0,W218*W203/(W173+W183+W193+W203))</f>
        <v>-6982.67713065865</v>
      </c>
      <c r="X226" s="73" t="n">
        <f aca="false">IF((X173+X183+X193+X203)=0,0,X218*X203/(X173+X183+X193+X203))</f>
        <v>-17570.527357422</v>
      </c>
      <c r="Y226" s="73" t="n">
        <f aca="false">IF((Y173+Y183+Y193+Y203)=0,0,Y218*Y203/(Y173+Y183+Y193+Y203))</f>
        <v>4773.45929051079</v>
      </c>
      <c r="Z226" s="73" t="n">
        <f aca="false">IF((Z173+Z183+Z193+Z203)=0,0,Z218*Z203/(Z173+Z183+Z193+Z203))</f>
        <v>2976.69670130776</v>
      </c>
      <c r="AA226" s="73" t="n">
        <f aca="false">IF((AA173+AA183+AA193+AA203)=0,0,AA218*AA203/(AA173+AA183+AA193+AA203))</f>
        <v>4762.78464701328</v>
      </c>
      <c r="AB226" s="73" t="n">
        <f aca="false">IF((AB173+AB183+AB193+AB203)=0,0,AB218*AB203/(AB173+AB183+AB193+AB203))</f>
        <v>1190.73601600983</v>
      </c>
    </row>
    <row r="227" customFormat="false" ht="15" hidden="false" customHeight="false" outlineLevel="0" collapsed="false">
      <c r="A227" s="58" t="s">
        <v>1320</v>
      </c>
      <c r="B227" s="59"/>
      <c r="C227" s="60" t="n">
        <f aca="false">SUM(E227:P227)</f>
        <v>829619.255775392</v>
      </c>
      <c r="D227" s="60" t="n">
        <f aca="false">SUM(Q227:AB227)</f>
        <v>896257.099075453</v>
      </c>
      <c r="E227" s="60" t="n">
        <f aca="false">E203+E204+E206+E207+E226</f>
        <v>68558.4545026738</v>
      </c>
      <c r="F227" s="60" t="n">
        <f aca="false">F203+F204+F206+F207+F226</f>
        <v>64835.6856170014</v>
      </c>
      <c r="G227" s="60" t="n">
        <f aca="false">G203+G204+G206+G207+G226</f>
        <v>74115.9405481101</v>
      </c>
      <c r="H227" s="60" t="n">
        <f aca="false">H203+H204+H206+H207+H226</f>
        <v>70456.6090790794</v>
      </c>
      <c r="I227" s="60" t="n">
        <f aca="false">I203+I204+I206+I207+I226</f>
        <v>69660.268476822</v>
      </c>
      <c r="J227" s="60" t="n">
        <f aca="false">J203+J204+J206+J207+J226</f>
        <v>72774.6249670477</v>
      </c>
      <c r="K227" s="60" t="n">
        <f aca="false">K203+K204+K206+K207+K226</f>
        <v>65278.1072041918</v>
      </c>
      <c r="L227" s="60" t="n">
        <f aca="false">L203+L204+L206+L207+L226</f>
        <v>53117.7534378529</v>
      </c>
      <c r="M227" s="60" t="n">
        <f aca="false">M203+M204+M206+M207+M226</f>
        <v>74269.6485039423</v>
      </c>
      <c r="N227" s="60" t="n">
        <f aca="false">N203+N204+N206+N207+N226</f>
        <v>72142.2540529505</v>
      </c>
      <c r="O227" s="60" t="n">
        <f aca="false">O203+O204+O206+O207+O226</f>
        <v>73805.6499878146</v>
      </c>
      <c r="P227" s="60" t="n">
        <f aca="false">P203+P204+P206+P207+P226</f>
        <v>70604.2593979057</v>
      </c>
      <c r="Q227" s="60" t="n">
        <f aca="false">Q203+Q204+Q206+Q207+Q226</f>
        <v>75965.3573760448</v>
      </c>
      <c r="R227" s="60" t="n">
        <f aca="false">R203+R204+R206+R207+R226</f>
        <v>71857.8331954449</v>
      </c>
      <c r="S227" s="60" t="n">
        <f aca="false">S203+S204+S206+S207+S226</f>
        <v>75245.4017397958</v>
      </c>
      <c r="T227" s="60" t="n">
        <f aca="false">T203+T204+T206+T207+T226</f>
        <v>71652.8771064953</v>
      </c>
      <c r="U227" s="60" t="n">
        <f aca="false">U203+U204+U206+U207+U226</f>
        <v>71111.7226409381</v>
      </c>
      <c r="V227" s="60" t="n">
        <f aca="false">V203+V204+V206+V207+V226</f>
        <v>74390.587009424</v>
      </c>
      <c r="W227" s="60" t="n">
        <f aca="false">W203+W204+W206+W207+W226</f>
        <v>70892.7763360429</v>
      </c>
      <c r="X227" s="60" t="n">
        <f aca="false">X203+X204+X206+X207+X226</f>
        <v>60263.4630016999</v>
      </c>
      <c r="Y227" s="60" t="n">
        <f aca="false">Y203+Y204+Y206+Y207+Y226</f>
        <v>82566.2629627645</v>
      </c>
      <c r="Z227" s="60" t="n">
        <f aca="false">Z203+Z204+Z206+Z207+Z226</f>
        <v>80770.0513721911</v>
      </c>
      <c r="AA227" s="60" t="n">
        <f aca="false">AA203+AA204+AA206+AA207+AA226</f>
        <v>82556.4102224849</v>
      </c>
      <c r="AB227" s="60" t="n">
        <f aca="false">AB203+AB204+AB206+AB207+AB226</f>
        <v>78984.3561121266</v>
      </c>
    </row>
    <row r="228" customFormat="false" ht="15" hidden="false" customHeight="false" outlineLevel="0" collapsed="false">
      <c r="A228" s="22" t="s">
        <v>1321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customFormat="false" ht="15" hidden="false" customHeight="false" outlineLevel="0" collapsed="false">
      <c r="A229" s="28" t="s">
        <v>1322</v>
      </c>
      <c r="B229" s="62" t="s">
        <v>1323</v>
      </c>
      <c r="C229" s="64" t="n">
        <f aca="false">SUM(E229:P229)</f>
        <v>207792</v>
      </c>
      <c r="D229" s="64" t="n">
        <f aca="false">SUM(Q229:AB229)</f>
        <v>234894</v>
      </c>
      <c r="E229" s="65" t="n">
        <f aca="false">IF(E$5="A",Inputs_Actuals!E141,Assumptions!$C$110*Enterprise!E210)</f>
        <v>0</v>
      </c>
      <c r="F229" s="65" t="n">
        <f aca="false">IF(F$5="A",Inputs_Actuals!F141,Assumptions!$C$110*Enterprise!F210)</f>
        <v>30600</v>
      </c>
      <c r="G229" s="65" t="n">
        <f aca="false">IF(G$5="A",Inputs_Actuals!G141,Assumptions!$C$110*Enterprise!G210)</f>
        <v>0</v>
      </c>
      <c r="H229" s="65" t="n">
        <f aca="false">IF(H$5="A",Inputs_Actuals!H141,Assumptions!$C$110*Enterprise!H210)</f>
        <v>37200</v>
      </c>
      <c r="I229" s="65" t="n">
        <f aca="false">IF(I$5="A",Inputs_Actuals!I141,Assumptions!$C$110*Enterprise!I210)</f>
        <v>0</v>
      </c>
      <c r="J229" s="65" t="n">
        <f aca="false">IF(J$5="A",Inputs_Actuals!J141,Assumptions!$C$110*Enterprise!J210)</f>
        <v>30600</v>
      </c>
      <c r="K229" s="65" t="n">
        <f aca="false">IF(K$5="A",Inputs_Actuals!K141,Assumptions!$C$110*Enterprise!K210)</f>
        <v>33600</v>
      </c>
      <c r="L229" s="65" t="n">
        <f aca="false">IF(L$5="A",Inputs_Actuals!L141,Assumptions!$C$110*Enterprise!L210)</f>
        <v>9000</v>
      </c>
      <c r="M229" s="65" t="n">
        <f aca="false">IF(M$5="A",Inputs_Actuals!M141,Assumptions!$C$110*Enterprise!M210)</f>
        <v>12960</v>
      </c>
      <c r="N229" s="65" t="n">
        <f aca="false">IF(N$5="A",Inputs_Actuals!N141,Assumptions!$C$110*Enterprise!N210)</f>
        <v>25032</v>
      </c>
      <c r="O229" s="65" t="n">
        <f aca="false">IF(O$5="A",Inputs_Actuals!O141,Assumptions!$C$110*Enterprise!O210)</f>
        <v>21600</v>
      </c>
      <c r="P229" s="65" t="n">
        <f aca="false">IF(P$5="A",Inputs_Actuals!P141,Assumptions!$C$110*Enterprise!P210)</f>
        <v>7200</v>
      </c>
      <c r="Q229" s="65" t="n">
        <f aca="false">IF(Q$5="A",Inputs_Actuals!Q141,Assumptions!$C$110*Enterprise!Q210)</f>
        <v>0</v>
      </c>
      <c r="R229" s="65" t="n">
        <f aca="false">IF(R$5="A",Inputs_Actuals!R141,Assumptions!$C$110*Enterprise!R210)</f>
        <v>42192</v>
      </c>
      <c r="S229" s="65" t="n">
        <f aca="false">IF(S$5="A",Inputs_Actuals!S141,Assumptions!$C$110*Enterprise!S210)</f>
        <v>5400</v>
      </c>
      <c r="T229" s="65" t="n">
        <f aca="false">IF(T$5="A",Inputs_Actuals!T141,Assumptions!$C$110*Enterprise!T210)</f>
        <v>37422</v>
      </c>
      <c r="U229" s="65" t="n">
        <f aca="false">IF(U$5="A",Inputs_Actuals!U141,Assumptions!$C$110*Enterprise!U210)</f>
        <v>8100</v>
      </c>
      <c r="V229" s="65" t="n">
        <f aca="false">IF(V$5="A",Inputs_Actuals!V141,Assumptions!$C$110*Enterprise!V210)</f>
        <v>35160</v>
      </c>
      <c r="W229" s="65" t="n">
        <f aca="false">IF(W$5="A",Inputs_Actuals!W141,Assumptions!$C$110*Enterprise!W210)</f>
        <v>33120</v>
      </c>
      <c r="X229" s="65" t="n">
        <f aca="false">IF(X$5="A",Inputs_Actuals!X141,Assumptions!$C$110*Enterprise!X210)</f>
        <v>8640</v>
      </c>
      <c r="Y229" s="65" t="n">
        <f aca="false">IF(Y$5="A",Inputs_Actuals!Y141,Assumptions!$C$110*Enterprise!Y210)</f>
        <v>12420</v>
      </c>
      <c r="Z229" s="65" t="n">
        <f aca="false">IF(Z$5="A",Inputs_Actuals!Z141,Assumptions!$C$110*Enterprise!Z210)</f>
        <v>24492</v>
      </c>
      <c r="AA229" s="65" t="n">
        <f aca="false">IF(AA$5="A",Inputs_Actuals!AA141,Assumptions!$C$110*Enterprise!AA210)</f>
        <v>20772</v>
      </c>
      <c r="AB229" s="65" t="n">
        <f aca="false">IF(AB$5="A",Inputs_Actuals!AB141,Assumptions!$C$110*Enterprise!AB210)</f>
        <v>7176</v>
      </c>
    </row>
    <row r="230" customFormat="false" ht="15" hidden="false" customHeight="false" outlineLevel="0" collapsed="false">
      <c r="A230" s="28" t="s">
        <v>1324</v>
      </c>
      <c r="B230" s="62" t="s">
        <v>1325</v>
      </c>
      <c r="C230" s="64" t="n">
        <f aca="false">SUM(E230:P230)</f>
        <v>95422.24224</v>
      </c>
      <c r="D230" s="64" t="n">
        <f aca="false">SUM(Q230:AB230)</f>
        <v>107868.02268</v>
      </c>
      <c r="E230" s="65" t="n">
        <f aca="false">E229*(Assumptions!$C$227+Assumptions!$C$228)</f>
        <v>0</v>
      </c>
      <c r="F230" s="65" t="n">
        <f aca="false">F229*(Assumptions!$C$227+Assumptions!$C$228)</f>
        <v>14052.132</v>
      </c>
      <c r="G230" s="65" t="n">
        <f aca="false">G229*(Assumptions!$C$227+Assumptions!$C$228)</f>
        <v>0</v>
      </c>
      <c r="H230" s="65" t="n">
        <f aca="false">H229*(Assumptions!$C$227+Assumptions!$C$228)</f>
        <v>17082.984</v>
      </c>
      <c r="I230" s="65" t="n">
        <f aca="false">I229*(Assumptions!$C$227+Assumptions!$C$228)</f>
        <v>0</v>
      </c>
      <c r="J230" s="65" t="n">
        <f aca="false">J229*(Assumptions!$C$227+Assumptions!$C$228)</f>
        <v>14052.132</v>
      </c>
      <c r="K230" s="65" t="n">
        <f aca="false">K229*(Assumptions!$C$227+Assumptions!$C$228)</f>
        <v>15429.792</v>
      </c>
      <c r="L230" s="65" t="n">
        <f aca="false">L229*(Assumptions!$C$227+Assumptions!$C$228)</f>
        <v>4132.98</v>
      </c>
      <c r="M230" s="65" t="n">
        <f aca="false">M229*(Assumptions!$C$227+Assumptions!$C$228)</f>
        <v>5951.4912</v>
      </c>
      <c r="N230" s="65" t="n">
        <f aca="false">N229*(Assumptions!$C$227+Assumptions!$C$228)</f>
        <v>11495.19504</v>
      </c>
      <c r="O230" s="65" t="n">
        <f aca="false">O229*(Assumptions!$C$227+Assumptions!$C$228)</f>
        <v>9919.152</v>
      </c>
      <c r="P230" s="65" t="n">
        <f aca="false">P229*(Assumptions!$C$227+Assumptions!$C$228)</f>
        <v>3306.384</v>
      </c>
      <c r="Q230" s="65" t="n">
        <f aca="false">Q229*(Assumptions!$C$227+Assumptions!$C$228)</f>
        <v>0</v>
      </c>
      <c r="R230" s="65" t="n">
        <f aca="false">R229*(Assumptions!$C$227+Assumptions!$C$228)</f>
        <v>19375.41024</v>
      </c>
      <c r="S230" s="65" t="n">
        <f aca="false">S229*(Assumptions!$C$227+Assumptions!$C$228)</f>
        <v>2479.788</v>
      </c>
      <c r="T230" s="65" t="n">
        <f aca="false">T229*(Assumptions!$C$227+Assumptions!$C$228)</f>
        <v>17184.93084</v>
      </c>
      <c r="U230" s="65" t="n">
        <f aca="false">U229*(Assumptions!$C$227+Assumptions!$C$228)</f>
        <v>3719.682</v>
      </c>
      <c r="V230" s="65" t="n">
        <f aca="false">V229*(Assumptions!$C$227+Assumptions!$C$228)</f>
        <v>16146.1752</v>
      </c>
      <c r="W230" s="65" t="n">
        <f aca="false">W229*(Assumptions!$C$227+Assumptions!$C$228)</f>
        <v>15209.3664</v>
      </c>
      <c r="X230" s="65" t="n">
        <f aca="false">X229*(Assumptions!$C$227+Assumptions!$C$228)</f>
        <v>3967.6608</v>
      </c>
      <c r="Y230" s="65" t="n">
        <f aca="false">Y229*(Assumptions!$C$227+Assumptions!$C$228)</f>
        <v>5703.5124</v>
      </c>
      <c r="Z230" s="65" t="n">
        <f aca="false">Z229*(Assumptions!$C$227+Assumptions!$C$228)</f>
        <v>11247.21624</v>
      </c>
      <c r="AA230" s="65" t="n">
        <f aca="false">AA229*(Assumptions!$C$227+Assumptions!$C$228)</f>
        <v>9538.91784</v>
      </c>
      <c r="AB230" s="65" t="n">
        <f aca="false">AB229*(Assumptions!$C$227+Assumptions!$C$228)</f>
        <v>3295.36272</v>
      </c>
    </row>
    <row r="231" customFormat="false" ht="15" hidden="false" customHeight="false" outlineLevel="0" collapsed="false">
      <c r="A231" s="58" t="s">
        <v>1326</v>
      </c>
      <c r="B231" s="59"/>
      <c r="C231" s="60" t="n">
        <f aca="false">SUM(E231:P231)</f>
        <v>303214.24224</v>
      </c>
      <c r="D231" s="60" t="n">
        <f aca="false">SUM(Q231:AB231)</f>
        <v>342762.02268</v>
      </c>
      <c r="E231" s="60" t="n">
        <f aca="false">E229+E230</f>
        <v>0</v>
      </c>
      <c r="F231" s="60" t="n">
        <f aca="false">F229+F230</f>
        <v>44652.132</v>
      </c>
      <c r="G231" s="60" t="n">
        <f aca="false">G229+G230</f>
        <v>0</v>
      </c>
      <c r="H231" s="60" t="n">
        <f aca="false">H229+H230</f>
        <v>54282.984</v>
      </c>
      <c r="I231" s="60" t="n">
        <f aca="false">I229+I230</f>
        <v>0</v>
      </c>
      <c r="J231" s="60" t="n">
        <f aca="false">J229+J230</f>
        <v>44652.132</v>
      </c>
      <c r="K231" s="60" t="n">
        <f aca="false">K229+K230</f>
        <v>49029.792</v>
      </c>
      <c r="L231" s="60" t="n">
        <f aca="false">L229+L230</f>
        <v>13132.98</v>
      </c>
      <c r="M231" s="60" t="n">
        <f aca="false">M229+M230</f>
        <v>18911.4912</v>
      </c>
      <c r="N231" s="60" t="n">
        <f aca="false">N229+N230</f>
        <v>36527.19504</v>
      </c>
      <c r="O231" s="60" t="n">
        <f aca="false">O229+O230</f>
        <v>31519.152</v>
      </c>
      <c r="P231" s="60" t="n">
        <f aca="false">P229+P230</f>
        <v>10506.384</v>
      </c>
      <c r="Q231" s="60" t="n">
        <f aca="false">Q229+Q230</f>
        <v>0</v>
      </c>
      <c r="R231" s="60" t="n">
        <f aca="false">R229+R230</f>
        <v>61567.41024</v>
      </c>
      <c r="S231" s="60" t="n">
        <f aca="false">S229+S230</f>
        <v>7879.788</v>
      </c>
      <c r="T231" s="60" t="n">
        <f aca="false">T229+T230</f>
        <v>54606.93084</v>
      </c>
      <c r="U231" s="60" t="n">
        <f aca="false">U229+U230</f>
        <v>11819.682</v>
      </c>
      <c r="V231" s="60" t="n">
        <f aca="false">V229+V230</f>
        <v>51306.1752</v>
      </c>
      <c r="W231" s="60" t="n">
        <f aca="false">W229+W230</f>
        <v>48329.3664</v>
      </c>
      <c r="X231" s="60" t="n">
        <f aca="false">X229+X230</f>
        <v>12607.6608</v>
      </c>
      <c r="Y231" s="60" t="n">
        <f aca="false">Y229+Y230</f>
        <v>18123.5124</v>
      </c>
      <c r="Z231" s="60" t="n">
        <f aca="false">Z229+Z230</f>
        <v>35739.21624</v>
      </c>
      <c r="AA231" s="60" t="n">
        <f aca="false">AA229+AA230</f>
        <v>30310.91784</v>
      </c>
      <c r="AB231" s="60" t="n">
        <f aca="false">AB229+AB230</f>
        <v>10471.36272</v>
      </c>
    </row>
    <row r="232" customFormat="false" ht="15" hidden="false" customHeight="false" outlineLevel="0" collapsed="false">
      <c r="A232" s="28" t="s">
        <v>1327</v>
      </c>
      <c r="B232" s="62"/>
      <c r="C232" s="64" t="n">
        <f aca="false">SUM(E232:P232)</f>
        <v>200592</v>
      </c>
      <c r="D232" s="64" t="n">
        <f aca="false">SUM(Q232:AB232)</f>
        <v>234918</v>
      </c>
      <c r="E232" s="65" t="n">
        <f aca="false">Inputs_Actuals!$C$197</f>
        <v>0</v>
      </c>
      <c r="F232" s="73" t="n">
        <f aca="false">E237</f>
        <v>0</v>
      </c>
      <c r="G232" s="73" t="n">
        <f aca="false">F237</f>
        <v>30600</v>
      </c>
      <c r="H232" s="73" t="n">
        <f aca="false">G237</f>
        <v>0</v>
      </c>
      <c r="I232" s="73" t="n">
        <f aca="false">H237</f>
        <v>37200</v>
      </c>
      <c r="J232" s="73" t="n">
        <f aca="false">I237</f>
        <v>0</v>
      </c>
      <c r="K232" s="73" t="n">
        <f aca="false">J237</f>
        <v>30600</v>
      </c>
      <c r="L232" s="73" t="n">
        <f aca="false">K237</f>
        <v>33600</v>
      </c>
      <c r="M232" s="73" t="n">
        <f aca="false">L237</f>
        <v>9000</v>
      </c>
      <c r="N232" s="73" t="n">
        <f aca="false">M237</f>
        <v>12960</v>
      </c>
      <c r="O232" s="73" t="n">
        <f aca="false">N237</f>
        <v>25032</v>
      </c>
      <c r="P232" s="73" t="n">
        <f aca="false">O237</f>
        <v>21600</v>
      </c>
      <c r="Q232" s="73" t="n">
        <f aca="false">P237</f>
        <v>7200</v>
      </c>
      <c r="R232" s="73" t="n">
        <f aca="false">Q237</f>
        <v>0</v>
      </c>
      <c r="S232" s="73" t="n">
        <f aca="false">R237</f>
        <v>42192</v>
      </c>
      <c r="T232" s="73" t="n">
        <f aca="false">S237</f>
        <v>5400</v>
      </c>
      <c r="U232" s="73" t="n">
        <f aca="false">T237</f>
        <v>37422</v>
      </c>
      <c r="V232" s="73" t="n">
        <f aca="false">U237</f>
        <v>8100</v>
      </c>
      <c r="W232" s="73" t="n">
        <f aca="false">V237</f>
        <v>35160</v>
      </c>
      <c r="X232" s="73" t="n">
        <f aca="false">W237</f>
        <v>33120</v>
      </c>
      <c r="Y232" s="73" t="n">
        <f aca="false">X237</f>
        <v>8640</v>
      </c>
      <c r="Z232" s="73" t="n">
        <f aca="false">Y237</f>
        <v>12420</v>
      </c>
      <c r="AA232" s="73" t="n">
        <f aca="false">Z237</f>
        <v>24492</v>
      </c>
      <c r="AB232" s="73" t="n">
        <f aca="false">AA237</f>
        <v>20772</v>
      </c>
    </row>
    <row r="233" customFormat="false" ht="15" hidden="false" customHeight="false" outlineLevel="0" collapsed="false">
      <c r="A233" s="28" t="s">
        <v>1328</v>
      </c>
      <c r="B233" s="62"/>
      <c r="C233" s="64" t="n">
        <f aca="false">SUM(E233:P233)</f>
        <v>82315.4346</v>
      </c>
      <c r="D233" s="64" t="n">
        <f aca="false">SUM(Q233:AB233)</f>
        <v>96401.537775</v>
      </c>
      <c r="E233" s="65" t="n">
        <f aca="false">E232*(Assumptions!$C$227+Assumptions!$C$229)</f>
        <v>0</v>
      </c>
      <c r="F233" s="65" t="n">
        <f aca="false">F232*(Assumptions!$C$227+Assumptions!$C$229)</f>
        <v>0</v>
      </c>
      <c r="G233" s="65" t="n">
        <f aca="false">G232*(Assumptions!$C$227+Assumptions!$C$229)</f>
        <v>12557.0925</v>
      </c>
      <c r="H233" s="65" t="n">
        <f aca="false">H232*(Assumptions!$C$227+Assumptions!$C$229)</f>
        <v>0</v>
      </c>
      <c r="I233" s="65" t="n">
        <f aca="false">I232*(Assumptions!$C$227+Assumptions!$C$229)</f>
        <v>15265.485</v>
      </c>
      <c r="J233" s="65" t="n">
        <f aca="false">J232*(Assumptions!$C$227+Assumptions!$C$229)</f>
        <v>0</v>
      </c>
      <c r="K233" s="65" t="n">
        <f aca="false">K232*(Assumptions!$C$227+Assumptions!$C$229)</f>
        <v>12557.0925</v>
      </c>
      <c r="L233" s="65" t="n">
        <f aca="false">L232*(Assumptions!$C$227+Assumptions!$C$229)</f>
        <v>13788.18</v>
      </c>
      <c r="M233" s="65" t="n">
        <f aca="false">M232*(Assumptions!$C$227+Assumptions!$C$229)</f>
        <v>3693.2625</v>
      </c>
      <c r="N233" s="65" t="n">
        <f aca="false">N232*(Assumptions!$C$227+Assumptions!$C$229)</f>
        <v>5318.298</v>
      </c>
      <c r="O233" s="65" t="n">
        <f aca="false">O232*(Assumptions!$C$227+Assumptions!$C$229)</f>
        <v>10272.1941</v>
      </c>
      <c r="P233" s="65" t="n">
        <f aca="false">P232*(Assumptions!$C$227+Assumptions!$C$229)</f>
        <v>8863.83</v>
      </c>
      <c r="Q233" s="65" t="n">
        <f aca="false">Q232*(Assumptions!$C$227+Assumptions!$C$229)</f>
        <v>2954.61</v>
      </c>
      <c r="R233" s="65" t="n">
        <f aca="false">R232*(Assumptions!$C$227+Assumptions!$C$229)</f>
        <v>0</v>
      </c>
      <c r="S233" s="65" t="n">
        <f aca="false">S232*(Assumptions!$C$227+Assumptions!$C$229)</f>
        <v>17314.0146</v>
      </c>
      <c r="T233" s="65" t="n">
        <f aca="false">T232*(Assumptions!$C$227+Assumptions!$C$229)</f>
        <v>2215.9575</v>
      </c>
      <c r="U233" s="65" t="n">
        <f aca="false">U232*(Assumptions!$C$227+Assumptions!$C$229)</f>
        <v>15356.585475</v>
      </c>
      <c r="V233" s="65" t="n">
        <f aca="false">V232*(Assumptions!$C$227+Assumptions!$C$229)</f>
        <v>3323.93625</v>
      </c>
      <c r="W233" s="65" t="n">
        <f aca="false">W232*(Assumptions!$C$227+Assumptions!$C$229)</f>
        <v>14428.3455</v>
      </c>
      <c r="X233" s="65" t="n">
        <f aca="false">X232*(Assumptions!$C$227+Assumptions!$C$229)</f>
        <v>13591.206</v>
      </c>
      <c r="Y233" s="65" t="n">
        <f aca="false">Y232*(Assumptions!$C$227+Assumptions!$C$229)</f>
        <v>3545.532</v>
      </c>
      <c r="Z233" s="65" t="n">
        <f aca="false">Z232*(Assumptions!$C$227+Assumptions!$C$229)</f>
        <v>5096.70225</v>
      </c>
      <c r="AA233" s="65" t="n">
        <f aca="false">AA232*(Assumptions!$C$227+Assumptions!$C$229)</f>
        <v>10050.59835</v>
      </c>
      <c r="AB233" s="65" t="n">
        <f aca="false">AB232*(Assumptions!$C$227+Assumptions!$C$229)</f>
        <v>8524.04985</v>
      </c>
    </row>
    <row r="234" customFormat="false" ht="15" hidden="false" customHeight="false" outlineLevel="0" collapsed="false">
      <c r="A234" s="28" t="s">
        <v>1329</v>
      </c>
      <c r="B234" s="62"/>
      <c r="C234" s="64" t="n">
        <f aca="false">SUM(E234:P234)</f>
        <v>49546.224</v>
      </c>
      <c r="D234" s="64" t="n">
        <f aca="false">SUM(Q234:AB234)</f>
        <v>58024.746</v>
      </c>
      <c r="E234" s="65" t="n">
        <f aca="false">E232*(Assumptions!$C$228+Assumptions!$C$230)</f>
        <v>0</v>
      </c>
      <c r="F234" s="65" t="n">
        <f aca="false">F232*(Assumptions!$C$228+Assumptions!$C$230)</f>
        <v>0</v>
      </c>
      <c r="G234" s="65" t="n">
        <f aca="false">G232*(Assumptions!$C$228+Assumptions!$C$230)</f>
        <v>7558.2</v>
      </c>
      <c r="H234" s="65" t="n">
        <f aca="false">H232*(Assumptions!$C$228+Assumptions!$C$230)</f>
        <v>0</v>
      </c>
      <c r="I234" s="65" t="n">
        <f aca="false">I232*(Assumptions!$C$228+Assumptions!$C$230)</f>
        <v>9188.4</v>
      </c>
      <c r="J234" s="65" t="n">
        <f aca="false">J232*(Assumptions!$C$228+Assumptions!$C$230)</f>
        <v>0</v>
      </c>
      <c r="K234" s="65" t="n">
        <f aca="false">K232*(Assumptions!$C$228+Assumptions!$C$230)</f>
        <v>7558.2</v>
      </c>
      <c r="L234" s="65" t="n">
        <f aca="false">L232*(Assumptions!$C$228+Assumptions!$C$230)</f>
        <v>8299.2</v>
      </c>
      <c r="M234" s="65" t="n">
        <f aca="false">M232*(Assumptions!$C$228+Assumptions!$C$230)</f>
        <v>2223</v>
      </c>
      <c r="N234" s="65" t="n">
        <f aca="false">N232*(Assumptions!$C$228+Assumptions!$C$230)</f>
        <v>3201.12</v>
      </c>
      <c r="O234" s="65" t="n">
        <f aca="false">O232*(Assumptions!$C$228+Assumptions!$C$230)</f>
        <v>6182.904</v>
      </c>
      <c r="P234" s="65" t="n">
        <f aca="false">P232*(Assumptions!$C$228+Assumptions!$C$230)</f>
        <v>5335.2</v>
      </c>
      <c r="Q234" s="65" t="n">
        <f aca="false">Q232*(Assumptions!$C$228+Assumptions!$C$230)</f>
        <v>1778.4</v>
      </c>
      <c r="R234" s="65" t="n">
        <f aca="false">R232*(Assumptions!$C$228+Assumptions!$C$230)</f>
        <v>0</v>
      </c>
      <c r="S234" s="65" t="n">
        <f aca="false">S232*(Assumptions!$C$228+Assumptions!$C$230)</f>
        <v>10421.424</v>
      </c>
      <c r="T234" s="65" t="n">
        <f aca="false">T232*(Assumptions!$C$228+Assumptions!$C$230)</f>
        <v>1333.8</v>
      </c>
      <c r="U234" s="65" t="n">
        <f aca="false">U232*(Assumptions!$C$228+Assumptions!$C$230)</f>
        <v>9243.234</v>
      </c>
      <c r="V234" s="65" t="n">
        <f aca="false">V232*(Assumptions!$C$228+Assumptions!$C$230)</f>
        <v>2000.7</v>
      </c>
      <c r="W234" s="65" t="n">
        <f aca="false">W232*(Assumptions!$C$228+Assumptions!$C$230)</f>
        <v>8684.52</v>
      </c>
      <c r="X234" s="65" t="n">
        <f aca="false">X232*(Assumptions!$C$228+Assumptions!$C$230)</f>
        <v>8180.64</v>
      </c>
      <c r="Y234" s="65" t="n">
        <f aca="false">Y232*(Assumptions!$C$228+Assumptions!$C$230)</f>
        <v>2134.08</v>
      </c>
      <c r="Z234" s="65" t="n">
        <f aca="false">Z232*(Assumptions!$C$228+Assumptions!$C$230)</f>
        <v>3067.74</v>
      </c>
      <c r="AA234" s="65" t="n">
        <f aca="false">AA232*(Assumptions!$C$228+Assumptions!$C$230)</f>
        <v>6049.524</v>
      </c>
      <c r="AB234" s="65" t="n">
        <f aca="false">AB232*(Assumptions!$C$228+Assumptions!$C$230)</f>
        <v>5130.684</v>
      </c>
    </row>
    <row r="235" customFormat="false" ht="15" hidden="false" customHeight="false" outlineLevel="0" collapsed="false">
      <c r="A235" s="28" t="s">
        <v>1330</v>
      </c>
      <c r="B235" s="62"/>
      <c r="C235" s="64" t="n">
        <f aca="false">SUM(E235:P235)</f>
        <v>19987.388064</v>
      </c>
      <c r="D235" s="64" t="n">
        <f aca="false">SUM(Q235:AB235)</f>
        <v>23407.699356</v>
      </c>
      <c r="E235" s="65" t="n">
        <f aca="false">Assumptions!$E$96*(E232*(1-Assumptions!$C$229-Assumptions!$C$230)+E232*Assumptions!$C$71*Assumptions!$C$72)</f>
        <v>0</v>
      </c>
      <c r="F235" s="65" t="n">
        <f aca="false">Assumptions!$E$96*(F232*(1-Assumptions!$C$229-Assumptions!$C$230)+F232*Assumptions!$C$71*Assumptions!$C$72)</f>
        <v>0</v>
      </c>
      <c r="G235" s="65" t="n">
        <f aca="false">Assumptions!$E$96*(G232*(1-Assumptions!$C$229-Assumptions!$C$230)+G232*Assumptions!$C$71*Assumptions!$C$72)</f>
        <v>3049.0452</v>
      </c>
      <c r="H235" s="65" t="n">
        <f aca="false">Assumptions!$E$96*(H232*(1-Assumptions!$C$229-Assumptions!$C$230)+H232*Assumptions!$C$71*Assumptions!$C$72)</f>
        <v>0</v>
      </c>
      <c r="I235" s="65" t="n">
        <f aca="false">Assumptions!$E$96*(I232*(1-Assumptions!$C$229-Assumptions!$C$230)+I232*Assumptions!$C$71*Assumptions!$C$72)</f>
        <v>3706.6824</v>
      </c>
      <c r="J235" s="65" t="n">
        <f aca="false">Assumptions!$E$96*(J232*(1-Assumptions!$C$229-Assumptions!$C$230)+J232*Assumptions!$C$71*Assumptions!$C$72)</f>
        <v>0</v>
      </c>
      <c r="K235" s="65" t="n">
        <f aca="false">Assumptions!$E$96*(K232*(1-Assumptions!$C$229-Assumptions!$C$230)+K232*Assumptions!$C$71*Assumptions!$C$72)</f>
        <v>3049.0452</v>
      </c>
      <c r="L235" s="65" t="n">
        <f aca="false">Assumptions!$E$96*(L232*(1-Assumptions!$C$229-Assumptions!$C$230)+L232*Assumptions!$C$71*Assumptions!$C$72)</f>
        <v>3347.9712</v>
      </c>
      <c r="M235" s="65" t="n">
        <f aca="false">Assumptions!$E$96*(M232*(1-Assumptions!$C$229-Assumptions!$C$230)+M232*Assumptions!$C$71*Assumptions!$C$72)</f>
        <v>896.778</v>
      </c>
      <c r="N235" s="65" t="n">
        <f aca="false">Assumptions!$E$96*(N232*(1-Assumptions!$C$229-Assumptions!$C$230)+N232*Assumptions!$C$71*Assumptions!$C$72)</f>
        <v>1291.36032</v>
      </c>
      <c r="O235" s="65" t="n">
        <f aca="false">Assumptions!$E$96*(O232*(1-Assumptions!$C$229-Assumptions!$C$230)+O232*Assumptions!$C$71*Assumptions!$C$72)</f>
        <v>2494.238544</v>
      </c>
      <c r="P235" s="65" t="n">
        <f aca="false">Assumptions!$E$96*(P232*(1-Assumptions!$C$229-Assumptions!$C$230)+P232*Assumptions!$C$71*Assumptions!$C$72)</f>
        <v>2152.2672</v>
      </c>
      <c r="Q235" s="65" t="n">
        <f aca="false">Assumptions!$E$96*(Q232*(1-Assumptions!$C$229-Assumptions!$C$230)+Q232*Assumptions!$C$71*Assumptions!$C$72)</f>
        <v>717.4224</v>
      </c>
      <c r="R235" s="65" t="n">
        <f aca="false">Assumptions!$E$96*(R232*(1-Assumptions!$C$229-Assumptions!$C$230)+R232*Assumptions!$C$71*Assumptions!$C$72)</f>
        <v>0</v>
      </c>
      <c r="S235" s="65" t="n">
        <f aca="false">Assumptions!$E$96*(S232*(1-Assumptions!$C$229-Assumptions!$C$230)+S232*Assumptions!$C$71*Assumptions!$C$72)</f>
        <v>4204.095264</v>
      </c>
      <c r="T235" s="65" t="n">
        <f aca="false">Assumptions!$E$96*(T232*(1-Assumptions!$C$229-Assumptions!$C$230)+T232*Assumptions!$C$71*Assumptions!$C$72)</f>
        <v>538.0668</v>
      </c>
      <c r="U235" s="65" t="n">
        <f aca="false">Assumptions!$E$96*(U232*(1-Assumptions!$C$229-Assumptions!$C$230)+U232*Assumptions!$C$71*Assumptions!$C$72)</f>
        <v>3728.802924</v>
      </c>
      <c r="V235" s="65" t="n">
        <f aca="false">Assumptions!$E$96*(V232*(1-Assumptions!$C$229-Assumptions!$C$230)+V232*Assumptions!$C$71*Assumptions!$C$72)</f>
        <v>807.1002</v>
      </c>
      <c r="W235" s="65" t="n">
        <f aca="false">Assumptions!$E$96*(W232*(1-Assumptions!$C$229-Assumptions!$C$230)+W232*Assumptions!$C$71*Assumptions!$C$72)</f>
        <v>3503.41272</v>
      </c>
      <c r="X235" s="65" t="n">
        <f aca="false">Assumptions!$E$96*(X232*(1-Assumptions!$C$229-Assumptions!$C$230)+X232*Assumptions!$C$71*Assumptions!$C$72)</f>
        <v>3300.14304</v>
      </c>
      <c r="Y235" s="65" t="n">
        <f aca="false">Assumptions!$E$96*(Y232*(1-Assumptions!$C$229-Assumptions!$C$230)+Y232*Assumptions!$C$71*Assumptions!$C$72)</f>
        <v>860.90688</v>
      </c>
      <c r="Z235" s="65" t="n">
        <f aca="false">Assumptions!$E$96*(Z232*(1-Assumptions!$C$229-Assumptions!$C$230)+Z232*Assumptions!$C$71*Assumptions!$C$72)</f>
        <v>1237.55364</v>
      </c>
      <c r="AA235" s="65" t="n">
        <f aca="false">Assumptions!$E$96*(AA232*(1-Assumptions!$C$229-Assumptions!$C$230)+AA232*Assumptions!$C$71*Assumptions!$C$72)</f>
        <v>2440.431864</v>
      </c>
      <c r="AB235" s="65" t="n">
        <f aca="false">Assumptions!$E$96*(AB232*(1-Assumptions!$C$229-Assumptions!$C$230)+AB232*Assumptions!$C$71*Assumptions!$C$72)</f>
        <v>2069.763624</v>
      </c>
    </row>
    <row r="236" customFormat="false" ht="15" hidden="false" customHeight="false" outlineLevel="0" collapsed="false">
      <c r="A236" s="28" t="s">
        <v>1331</v>
      </c>
      <c r="B236" s="62"/>
      <c r="C236" s="64" t="n">
        <f aca="false">SUM(E236:P236)</f>
        <v>140858.811576</v>
      </c>
      <c r="D236" s="64" t="n">
        <f aca="false">SUM(Q236:AB236)</f>
        <v>164963.060829</v>
      </c>
      <c r="E236" s="65" t="n">
        <f aca="false">E232*(1-Assumptions!$C$229-Assumptions!$C$230)-E235</f>
        <v>0</v>
      </c>
      <c r="F236" s="65" t="n">
        <f aca="false">F232*(1-Assumptions!$C$229-Assumptions!$C$230)-F235</f>
        <v>0</v>
      </c>
      <c r="G236" s="65" t="n">
        <f aca="false">G232*(1-Assumptions!$C$229-Assumptions!$C$230)-G235</f>
        <v>21487.7943</v>
      </c>
      <c r="H236" s="65" t="n">
        <f aca="false">H232*(1-Assumptions!$C$229-Assumptions!$C$230)-H235</f>
        <v>0</v>
      </c>
      <c r="I236" s="65" t="n">
        <f aca="false">I232*(1-Assumptions!$C$229-Assumptions!$C$230)-I235</f>
        <v>26122.4166</v>
      </c>
      <c r="J236" s="65" t="n">
        <f aca="false">J232*(1-Assumptions!$C$229-Assumptions!$C$230)-J235</f>
        <v>0</v>
      </c>
      <c r="K236" s="65" t="n">
        <f aca="false">K232*(1-Assumptions!$C$229-Assumptions!$C$230)-K235</f>
        <v>21487.7943</v>
      </c>
      <c r="L236" s="65" t="n">
        <f aca="false">L232*(1-Assumptions!$C$229-Assumptions!$C$230)-L235</f>
        <v>23594.4408</v>
      </c>
      <c r="M236" s="65" t="n">
        <f aca="false">M232*(1-Assumptions!$C$229-Assumptions!$C$230)-M235</f>
        <v>6319.9395</v>
      </c>
      <c r="N236" s="65" t="n">
        <f aca="false">N232*(1-Assumptions!$C$229-Assumptions!$C$230)-N235</f>
        <v>9100.71288</v>
      </c>
      <c r="O236" s="65" t="n">
        <f aca="false">O232*(1-Assumptions!$C$229-Assumptions!$C$230)-O235</f>
        <v>17577.858396</v>
      </c>
      <c r="P236" s="65" t="n">
        <f aca="false">P232*(1-Assumptions!$C$229-Assumptions!$C$230)-P235</f>
        <v>15167.8548</v>
      </c>
      <c r="Q236" s="65" t="n">
        <f aca="false">Q232*(1-Assumptions!$C$229-Assumptions!$C$230)-Q235</f>
        <v>5055.9516</v>
      </c>
      <c r="R236" s="65" t="n">
        <f aca="false">R232*(1-Assumptions!$C$229-Assumptions!$C$230)-R235</f>
        <v>0</v>
      </c>
      <c r="S236" s="65" t="n">
        <f aca="false">S232*(1-Assumptions!$C$229-Assumptions!$C$230)-S235</f>
        <v>29627.876376</v>
      </c>
      <c r="T236" s="65" t="n">
        <f aca="false">T232*(1-Assumptions!$C$229-Assumptions!$C$230)-T235</f>
        <v>3791.9637</v>
      </c>
      <c r="U236" s="65" t="n">
        <f aca="false">U232*(1-Assumptions!$C$229-Assumptions!$C$230)-U235</f>
        <v>26278.308441</v>
      </c>
      <c r="V236" s="65" t="n">
        <f aca="false">V232*(1-Assumptions!$C$229-Assumptions!$C$230)-V235</f>
        <v>5687.94555</v>
      </c>
      <c r="W236" s="65" t="n">
        <f aca="false">W232*(1-Assumptions!$C$229-Assumptions!$C$230)-W235</f>
        <v>24689.89698</v>
      </c>
      <c r="X236" s="65" t="n">
        <f aca="false">X232*(1-Assumptions!$C$229-Assumptions!$C$230)-X235</f>
        <v>23257.37736</v>
      </c>
      <c r="Y236" s="65" t="n">
        <f aca="false">Y232*(1-Assumptions!$C$229-Assumptions!$C$230)-Y235</f>
        <v>6067.14192</v>
      </c>
      <c r="Z236" s="65" t="n">
        <f aca="false">Z232*(1-Assumptions!$C$229-Assumptions!$C$230)-Z235</f>
        <v>8721.51651</v>
      </c>
      <c r="AA236" s="65" t="n">
        <f aca="false">AA232*(1-Assumptions!$C$229-Assumptions!$C$230)-AA235</f>
        <v>17198.662026</v>
      </c>
      <c r="AB236" s="65" t="n">
        <f aca="false">AB232*(1-Assumptions!$C$229-Assumptions!$C$230)-AB235</f>
        <v>14586.420366</v>
      </c>
    </row>
    <row r="237" customFormat="false" ht="15" hidden="false" customHeight="false" outlineLevel="0" collapsed="false">
      <c r="A237" s="28" t="s">
        <v>485</v>
      </c>
      <c r="B237" s="62"/>
      <c r="C237" s="64" t="n">
        <f aca="false">P237</f>
        <v>7200</v>
      </c>
      <c r="D237" s="64" t="n">
        <f aca="false">AB237</f>
        <v>7176</v>
      </c>
      <c r="E237" s="73" t="n">
        <f aca="false">E229</f>
        <v>0</v>
      </c>
      <c r="F237" s="73" t="n">
        <f aca="false">F229</f>
        <v>30600</v>
      </c>
      <c r="G237" s="73" t="n">
        <f aca="false">G229</f>
        <v>0</v>
      </c>
      <c r="H237" s="73" t="n">
        <f aca="false">H229</f>
        <v>37200</v>
      </c>
      <c r="I237" s="73" t="n">
        <f aca="false">I229</f>
        <v>0</v>
      </c>
      <c r="J237" s="73" t="n">
        <f aca="false">J229</f>
        <v>30600</v>
      </c>
      <c r="K237" s="73" t="n">
        <f aca="false">K229</f>
        <v>33600</v>
      </c>
      <c r="L237" s="73" t="n">
        <f aca="false">L229</f>
        <v>9000</v>
      </c>
      <c r="M237" s="73" t="n">
        <f aca="false">M229</f>
        <v>12960</v>
      </c>
      <c r="N237" s="73" t="n">
        <f aca="false">N229</f>
        <v>25032</v>
      </c>
      <c r="O237" s="73" t="n">
        <f aca="false">O229</f>
        <v>21600</v>
      </c>
      <c r="P237" s="73" t="n">
        <f aca="false">P229</f>
        <v>7200</v>
      </c>
      <c r="Q237" s="73" t="n">
        <f aca="false">Q229</f>
        <v>0</v>
      </c>
      <c r="R237" s="73" t="n">
        <f aca="false">R229</f>
        <v>42192</v>
      </c>
      <c r="S237" s="73" t="n">
        <f aca="false">S229</f>
        <v>5400</v>
      </c>
      <c r="T237" s="73" t="n">
        <f aca="false">T229</f>
        <v>37422</v>
      </c>
      <c r="U237" s="73" t="n">
        <f aca="false">U229</f>
        <v>8100</v>
      </c>
      <c r="V237" s="73" t="n">
        <f aca="false">V229</f>
        <v>35160</v>
      </c>
      <c r="W237" s="73" t="n">
        <f aca="false">W229</f>
        <v>33120</v>
      </c>
      <c r="X237" s="73" t="n">
        <f aca="false">X229</f>
        <v>8640</v>
      </c>
      <c r="Y237" s="73" t="n">
        <f aca="false">Y229</f>
        <v>12420</v>
      </c>
      <c r="Z237" s="73" t="n">
        <f aca="false">Z229</f>
        <v>24492</v>
      </c>
      <c r="AA237" s="73" t="n">
        <f aca="false">AA229</f>
        <v>20772</v>
      </c>
      <c r="AB237" s="73" t="n">
        <f aca="false">AB229</f>
        <v>7176</v>
      </c>
    </row>
    <row r="238" customFormat="false" ht="15" hidden="false" customHeight="false" outlineLevel="0" collapsed="false">
      <c r="A238" s="28" t="s">
        <v>486</v>
      </c>
      <c r="B238" s="62"/>
      <c r="C238" s="64" t="n">
        <f aca="false">P238</f>
        <v>3306.384</v>
      </c>
      <c r="D238" s="64" t="n">
        <f aca="false">AB238</f>
        <v>3295.36272</v>
      </c>
      <c r="E238" s="73" t="n">
        <f aca="false">E230</f>
        <v>0</v>
      </c>
      <c r="F238" s="73" t="n">
        <f aca="false">F230</f>
        <v>14052.132</v>
      </c>
      <c r="G238" s="73" t="n">
        <f aca="false">G230</f>
        <v>0</v>
      </c>
      <c r="H238" s="73" t="n">
        <f aca="false">H230</f>
        <v>17082.984</v>
      </c>
      <c r="I238" s="73" t="n">
        <f aca="false">I230</f>
        <v>0</v>
      </c>
      <c r="J238" s="73" t="n">
        <f aca="false">J230</f>
        <v>14052.132</v>
      </c>
      <c r="K238" s="73" t="n">
        <f aca="false">K230</f>
        <v>15429.792</v>
      </c>
      <c r="L238" s="73" t="n">
        <f aca="false">L230</f>
        <v>4132.98</v>
      </c>
      <c r="M238" s="73" t="n">
        <f aca="false">M230</f>
        <v>5951.4912</v>
      </c>
      <c r="N238" s="73" t="n">
        <f aca="false">N230</f>
        <v>11495.19504</v>
      </c>
      <c r="O238" s="73" t="n">
        <f aca="false">O230</f>
        <v>9919.152</v>
      </c>
      <c r="P238" s="73" t="n">
        <f aca="false">P230</f>
        <v>3306.384</v>
      </c>
      <c r="Q238" s="73" t="n">
        <f aca="false">Q230</f>
        <v>0</v>
      </c>
      <c r="R238" s="73" t="n">
        <f aca="false">R230</f>
        <v>19375.41024</v>
      </c>
      <c r="S238" s="73" t="n">
        <f aca="false">S230</f>
        <v>2479.788</v>
      </c>
      <c r="T238" s="73" t="n">
        <f aca="false">T230</f>
        <v>17184.93084</v>
      </c>
      <c r="U238" s="73" t="n">
        <f aca="false">U230</f>
        <v>3719.682</v>
      </c>
      <c r="V238" s="73" t="n">
        <f aca="false">V230</f>
        <v>16146.1752</v>
      </c>
      <c r="W238" s="73" t="n">
        <f aca="false">W230</f>
        <v>15209.3664</v>
      </c>
      <c r="X238" s="73" t="n">
        <f aca="false">X230</f>
        <v>3967.6608</v>
      </c>
      <c r="Y238" s="73" t="n">
        <f aca="false">Y230</f>
        <v>5703.5124</v>
      </c>
      <c r="Z238" s="73" t="n">
        <f aca="false">Z230</f>
        <v>11247.21624</v>
      </c>
      <c r="AA238" s="73" t="n">
        <f aca="false">AA230</f>
        <v>9538.91784</v>
      </c>
      <c r="AB238" s="73" t="n">
        <f aca="false">AB230</f>
        <v>3295.36272</v>
      </c>
    </row>
    <row r="239" customFormat="false" ht="15" hidden="false" customHeight="false" outlineLevel="0" collapsed="false">
      <c r="A239" s="22" t="s">
        <v>1332</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row>
    <row r="240" customFormat="false" ht="15" hidden="false" customHeight="false" outlineLevel="0" collapsed="false">
      <c r="A240" s="28" t="s">
        <v>1333</v>
      </c>
      <c r="B240" s="62"/>
      <c r="C240" s="64" t="n">
        <f aca="false">SUM(E240:P240)</f>
        <v>2909784.20400564</v>
      </c>
      <c r="D240" s="64" t="n">
        <f aca="false">SUM(Q240:AB240)</f>
        <v>3397227.97527748</v>
      </c>
      <c r="E240" s="73" t="n">
        <f aca="false">E174+E184+E194+E204+E178+E188+E198+E208+E233</f>
        <v>219057.13</v>
      </c>
      <c r="F240" s="73" t="n">
        <f aca="false">F174+F184+F194+F204+F178+F188+F198+F208+F233</f>
        <v>226130.17</v>
      </c>
      <c r="G240" s="73" t="n">
        <f aca="false">G174+G184+G194+G204+G178+G188+G198+G208+G233</f>
        <v>245947.1025</v>
      </c>
      <c r="H240" s="73" t="n">
        <f aca="false">H174+H184+H194+H204+H178+H188+H198+H208+H233</f>
        <v>239469.37</v>
      </c>
      <c r="I240" s="73" t="n">
        <f aca="false">I174+I184+I194+I204+I178+I188+I198+I208+I233</f>
        <v>254250.725</v>
      </c>
      <c r="J240" s="73" t="n">
        <f aca="false">J174+J184+J194+J204+J178+J188+J198+J208+J233</f>
        <v>241473.55</v>
      </c>
      <c r="K240" s="73" t="n">
        <f aca="false">K174+K184+K194+K204+K178+K188+K198+K208+K233</f>
        <v>252464.9125</v>
      </c>
      <c r="L240" s="73" t="n">
        <f aca="false">L174+L184+L194+L204+L178+L188+L198+L208+L233</f>
        <v>250288.55</v>
      </c>
      <c r="M240" s="73" t="n">
        <f aca="false">M174+M184+M194+M204+M178+M188+M198+M208+M233</f>
        <v>237866.303901732</v>
      </c>
      <c r="N240" s="73" t="n">
        <f aca="false">N174+N184+N194+N204+N178+N188+N198+N208+N233</f>
        <v>242662.745709719</v>
      </c>
      <c r="O240" s="73" t="n">
        <f aca="false">O174+O184+O194+O204+O178+O188+O198+O208+O233</f>
        <v>250832.343052491</v>
      </c>
      <c r="P240" s="73" t="n">
        <f aca="false">P174+P184+P194+P204+P178+P188+P198+P208+P233</f>
        <v>249341.301341701</v>
      </c>
      <c r="Q240" s="73" t="n">
        <f aca="false">Q174+Q184+Q194+Q204+Q178+Q188+Q198+Q208+Q233</f>
        <v>266326.426397036</v>
      </c>
      <c r="R240" s="73" t="n">
        <f aca="false">R174+R184+R194+R204+R178+R188+R198+R208+R233</f>
        <v>265757.282651084</v>
      </c>
      <c r="S240" s="73" t="n">
        <f aca="false">S174+S184+S194+S204+S178+S188+S198+S208+S233</f>
        <v>286238.359028073</v>
      </c>
      <c r="T240" s="73" t="n">
        <f aca="false">T174+T184+T194+T204+T178+T188+T198+T208+T233</f>
        <v>275075.725519861</v>
      </c>
      <c r="U240" s="73" t="n">
        <f aca="false">U174+U184+U194+U204+U178+U188+U198+U208+U233</f>
        <v>288134.743385046</v>
      </c>
      <c r="V240" s="73" t="n">
        <f aca="false">V174+V184+V194+V204+V178+V188+V198+V208+V233</f>
        <v>279143.69064124</v>
      </c>
      <c r="W240" s="73" t="n">
        <f aca="false">W174+W184+W194+W204+W178+W188+W198+W208+W233</f>
        <v>292461.02146857</v>
      </c>
      <c r="X240" s="73" t="n">
        <f aca="false">X174+X184+X194+X204+X178+X188+X198+X208+X233</f>
        <v>291584.156005281</v>
      </c>
      <c r="Y240" s="73" t="n">
        <f aca="false">Y174+Y184+Y194+Y204+Y178+Y188+Y198+Y208+Y233</f>
        <v>284902.569433469</v>
      </c>
      <c r="Z240" s="73" t="n">
        <f aca="false">Z174+Z184+Z194+Z204+Z178+Z188+Z198+Z208+Z233</f>
        <v>286425.98229214</v>
      </c>
      <c r="AA240" s="73" t="n">
        <f aca="false">AA174+AA184+AA194+AA204+AA178+AA188+AA198+AA208+AA233</f>
        <v>291352.051595788</v>
      </c>
      <c r="AB240" s="73" t="n">
        <f aca="false">AB174+AB184+AB194+AB204+AB178+AB188+AB198+AB208+AB233</f>
        <v>289825.966859892</v>
      </c>
    </row>
    <row r="241" customFormat="false" ht="15" hidden="false" customHeight="false" outlineLevel="0" collapsed="false">
      <c r="A241" s="28" t="s">
        <v>1334</v>
      </c>
      <c r="B241" s="62" t="s">
        <v>1335</v>
      </c>
      <c r="C241" s="64" t="n">
        <f aca="false">SUM(E241:P241)</f>
        <v>2874125.32266394</v>
      </c>
      <c r="D241" s="64" t="n">
        <f aca="false">SUM(Q241:AB241)</f>
        <v>3356743.30975929</v>
      </c>
      <c r="E241" s="65" t="n">
        <f aca="false">IF(E$5="A",Inputs_Actuals!E168,Inputs_Actuals!$C$194)</f>
        <v>213682.42</v>
      </c>
      <c r="F241" s="65" t="n">
        <f aca="false">IF(F$5="A",Inputs_Actuals!F168,E242)</f>
        <v>219057.13</v>
      </c>
      <c r="G241" s="65" t="n">
        <f aca="false">IF(G$5="A",Inputs_Actuals!G168,F242)</f>
        <v>226130.17</v>
      </c>
      <c r="H241" s="65" t="n">
        <f aca="false">IF(H$5="A",Inputs_Actuals!H168,G242)</f>
        <v>245947.1</v>
      </c>
      <c r="I241" s="65" t="n">
        <f aca="false">IF(I$5="A",Inputs_Actuals!I168,H242)</f>
        <v>239469.37</v>
      </c>
      <c r="J241" s="65" t="n">
        <f aca="false">IF(J$5="A",Inputs_Actuals!J168,I242)</f>
        <v>254250.73</v>
      </c>
      <c r="K241" s="65" t="n">
        <f aca="false">IF(K$5="A",Inputs_Actuals!K168,J242)</f>
        <v>241473.55</v>
      </c>
      <c r="L241" s="65" t="n">
        <f aca="false">IF(L$5="A",Inputs_Actuals!L168,K242)</f>
        <v>252464.91</v>
      </c>
      <c r="M241" s="65" t="n">
        <f aca="false">IF(M$5="A",Inputs_Actuals!M168,L242)</f>
        <v>250288.55</v>
      </c>
      <c r="N241" s="65" t="n">
        <f aca="false">IF(N$5="A",Inputs_Actuals!N168,M242)</f>
        <v>237866.303901732</v>
      </c>
      <c r="O241" s="65" t="n">
        <f aca="false">IF(O$5="A",Inputs_Actuals!O168,N242)</f>
        <v>242662.745709719</v>
      </c>
      <c r="P241" s="65" t="n">
        <f aca="false">IF(P$5="A",Inputs_Actuals!P168,O242)</f>
        <v>250832.343052491</v>
      </c>
      <c r="Q241" s="65" t="n">
        <f aca="false">IF(Q$5="A",Inputs_Actuals!Q168,P242)</f>
        <v>249341.301341701</v>
      </c>
      <c r="R241" s="65" t="n">
        <f aca="false">IF(R$5="A",Inputs_Actuals!R168,Q242)</f>
        <v>266326.426397036</v>
      </c>
      <c r="S241" s="65" t="n">
        <f aca="false">IF(S$5="A",Inputs_Actuals!S168,R242)</f>
        <v>265757.282651084</v>
      </c>
      <c r="T241" s="65" t="n">
        <f aca="false">IF(T$5="A",Inputs_Actuals!T168,S242)</f>
        <v>286238.359028073</v>
      </c>
      <c r="U241" s="65" t="n">
        <f aca="false">IF(U$5="A",Inputs_Actuals!U168,T242)</f>
        <v>275075.725519861</v>
      </c>
      <c r="V241" s="65" t="n">
        <f aca="false">IF(V$5="A",Inputs_Actuals!V168,U242)</f>
        <v>288134.743385046</v>
      </c>
      <c r="W241" s="65" t="n">
        <f aca="false">IF(W$5="A",Inputs_Actuals!W168,V242)</f>
        <v>279143.69064124</v>
      </c>
      <c r="X241" s="65" t="n">
        <f aca="false">IF(X$5="A",Inputs_Actuals!X168,W242)</f>
        <v>292461.02146857</v>
      </c>
      <c r="Y241" s="65" t="n">
        <f aca="false">IF(Y$5="A",Inputs_Actuals!Y168,X242)</f>
        <v>291584.156005281</v>
      </c>
      <c r="Z241" s="65" t="n">
        <f aca="false">IF(Z$5="A",Inputs_Actuals!Z168,Y242)</f>
        <v>284902.569433469</v>
      </c>
      <c r="AA241" s="65" t="n">
        <f aca="false">IF(AA$5="A",Inputs_Actuals!AA168,Z242)</f>
        <v>286425.98229214</v>
      </c>
      <c r="AB241" s="65" t="n">
        <f aca="false">IF(AB$5="A",Inputs_Actuals!AB168,AA242)</f>
        <v>291352.051595788</v>
      </c>
    </row>
    <row r="242" customFormat="false" ht="15" hidden="false" customHeight="false" outlineLevel="0" collapsed="false">
      <c r="A242" s="58" t="s">
        <v>1336</v>
      </c>
      <c r="B242" s="59"/>
      <c r="C242" s="60" t="n">
        <f aca="false">P242</f>
        <v>249341.301341701</v>
      </c>
      <c r="D242" s="60" t="n">
        <f aca="false">AB242</f>
        <v>289825.966859892</v>
      </c>
      <c r="E242" s="61" t="n">
        <f aca="false">Inputs_Actuals!$C$194+E240-E241</f>
        <v>219057.13</v>
      </c>
      <c r="F242" s="60" t="n">
        <f aca="false">E242+F240-F241</f>
        <v>226130.17</v>
      </c>
      <c r="G242" s="60" t="n">
        <f aca="false">F242+G240-G241</f>
        <v>245947.1025</v>
      </c>
      <c r="H242" s="60" t="n">
        <f aca="false">G242+H240-H241</f>
        <v>239469.3725</v>
      </c>
      <c r="I242" s="60" t="n">
        <f aca="false">H242+I240-I241</f>
        <v>254250.7275</v>
      </c>
      <c r="J242" s="60" t="n">
        <f aca="false">I242+J240-J241</f>
        <v>241473.5475</v>
      </c>
      <c r="K242" s="60" t="n">
        <f aca="false">J242+K240-K241</f>
        <v>252464.91</v>
      </c>
      <c r="L242" s="60" t="n">
        <f aca="false">K242+L240-L241</f>
        <v>250288.55</v>
      </c>
      <c r="M242" s="60" t="n">
        <f aca="false">L242+M240-M241</f>
        <v>237866.303901732</v>
      </c>
      <c r="N242" s="60" t="n">
        <f aca="false">M242+N240-N241</f>
        <v>242662.745709719</v>
      </c>
      <c r="O242" s="60" t="n">
        <f aca="false">N242+O240-O241</f>
        <v>250832.343052491</v>
      </c>
      <c r="P242" s="60" t="n">
        <f aca="false">O242+P240-P241</f>
        <v>249341.301341701</v>
      </c>
      <c r="Q242" s="60" t="n">
        <f aca="false">P242+Q240-Q241</f>
        <v>266326.426397036</v>
      </c>
      <c r="R242" s="60" t="n">
        <f aca="false">Q242+R240-R241</f>
        <v>265757.282651084</v>
      </c>
      <c r="S242" s="60" t="n">
        <f aca="false">R242+S240-S241</f>
        <v>286238.359028073</v>
      </c>
      <c r="T242" s="60" t="n">
        <f aca="false">S242+T240-T241</f>
        <v>275075.725519861</v>
      </c>
      <c r="U242" s="60" t="n">
        <f aca="false">T242+U240-U241</f>
        <v>288134.743385046</v>
      </c>
      <c r="V242" s="60" t="n">
        <f aca="false">U242+V240-V241</f>
        <v>279143.69064124</v>
      </c>
      <c r="W242" s="60" t="n">
        <f aca="false">V242+W240-W241</f>
        <v>292461.02146857</v>
      </c>
      <c r="X242" s="60" t="n">
        <f aca="false">W242+X240-X241</f>
        <v>291584.156005281</v>
      </c>
      <c r="Y242" s="60" t="n">
        <f aca="false">X242+Y240-Y241</f>
        <v>284902.569433469</v>
      </c>
      <c r="Z242" s="60" t="n">
        <f aca="false">Y242+Z240-Z241</f>
        <v>286425.98229214</v>
      </c>
      <c r="AA242" s="60" t="n">
        <f aca="false">Z242+AA240-AA241</f>
        <v>291352.051595788</v>
      </c>
      <c r="AB242" s="60" t="n">
        <f aca="false">AA242+AB240-AB241</f>
        <v>289825.966859892</v>
      </c>
    </row>
    <row r="243" customFormat="false" ht="15" hidden="false" customHeight="false" outlineLevel="0" collapsed="false">
      <c r="A243" s="28" t="s">
        <v>1337</v>
      </c>
      <c r="B243" s="62"/>
      <c r="C243" s="64" t="n">
        <f aca="false">SUM(E243:P243)</f>
        <v>578453.040726411</v>
      </c>
      <c r="D243" s="64" t="n">
        <f aca="false">SUM(Q243:AB243)</f>
        <v>667258.110715173</v>
      </c>
      <c r="E243" s="73" t="n">
        <f aca="false">E180+E190+E200+E210+E235</f>
        <v>43544.32</v>
      </c>
      <c r="F243" s="73" t="n">
        <f aca="false">F180+F190+F200+F210+F235</f>
        <v>45112.36</v>
      </c>
      <c r="G243" s="73" t="n">
        <f aca="false">G180+G190+G200+G210+G235</f>
        <v>49245.9852</v>
      </c>
      <c r="H243" s="73" t="n">
        <f aca="false">H180+H190+H200+H210+H235</f>
        <v>47195.8</v>
      </c>
      <c r="I243" s="73" t="n">
        <f aca="false">I180+I190+I200+I210+I235</f>
        <v>50719.3824</v>
      </c>
      <c r="J243" s="73" t="n">
        <f aca="false">J180+J190+J200+J210+J235</f>
        <v>47540.26</v>
      </c>
      <c r="K243" s="73" t="n">
        <f aca="false">K180+K190+K200+K210+K235</f>
        <v>50425.2852</v>
      </c>
      <c r="L243" s="73" t="n">
        <f aca="false">L180+L190+L200+L210+L235</f>
        <v>50082.2612</v>
      </c>
      <c r="M243" s="73" t="n">
        <f aca="false">M180+M190+M200+M210+M235</f>
        <v>47171.6485325597</v>
      </c>
      <c r="N243" s="73" t="n">
        <f aca="false">N180+N190+N200+N210+N235</f>
        <v>48037.8305226273</v>
      </c>
      <c r="O243" s="73" t="n">
        <f aca="false">O180+O190+O200+O210+O235</f>
        <v>49867.1373556515</v>
      </c>
      <c r="P243" s="73" t="n">
        <f aca="false">P180+P190+P200+P210+P235</f>
        <v>49510.7703155722</v>
      </c>
      <c r="Q243" s="73" t="n">
        <f aca="false">Q180+Q190+Q200+Q210+Q235</f>
        <v>52547.1443520976</v>
      </c>
      <c r="R243" s="73" t="n">
        <f aca="false">R180+R190+R200+R210+R235</f>
        <v>52165.4496766882</v>
      </c>
      <c r="S243" s="73" t="n">
        <f aca="false">S180+S190+S200+S210+S235</f>
        <v>56992.9139111526</v>
      </c>
      <c r="T243" s="73" t="n">
        <f aca="false">T180+T190+T200+T210+T235</f>
        <v>53777.6300076107</v>
      </c>
      <c r="U243" s="73" t="n">
        <f aca="false">U180+U190+U200+U210+U235</f>
        <v>56956.9909188829</v>
      </c>
      <c r="V243" s="73" t="n">
        <f aca="false">V180+V190+V200+V210+V235</f>
        <v>54572.5269452202</v>
      </c>
      <c r="W243" s="73" t="n">
        <f aca="false">W180+W190+W200+W210+W235</f>
        <v>57545.7279740335</v>
      </c>
      <c r="X243" s="73" t="n">
        <f aca="false">X180+X190+X200+X210+X235</f>
        <v>57336.178868422</v>
      </c>
      <c r="Y243" s="73" t="n">
        <f aca="false">Y180+Y190+Y200+Y210+Y235</f>
        <v>55556.4213497044</v>
      </c>
      <c r="Z243" s="73" t="n">
        <f aca="false">Z180+Z190+Z200+Z210+Z235</f>
        <v>55927.6180358497</v>
      </c>
      <c r="AA243" s="73" t="n">
        <f aca="false">AA180+AA190+AA200+AA210+AA235</f>
        <v>57125.0429924967</v>
      </c>
      <c r="AB243" s="73" t="n">
        <f aca="false">AB180+AB190+AB200+AB210+AB235</f>
        <v>56754.4656830146</v>
      </c>
    </row>
    <row r="244" customFormat="false" ht="15" hidden="false" customHeight="false" outlineLevel="0" collapsed="false">
      <c r="A244" s="28" t="s">
        <v>1338</v>
      </c>
      <c r="B244" s="62" t="s">
        <v>1335</v>
      </c>
      <c r="C244" s="64" t="n">
        <f aca="false">SUM(E244:P244)</f>
        <v>571397.950410839</v>
      </c>
      <c r="D244" s="64" t="n">
        <f aca="false">SUM(Q244:AB244)</f>
        <v>660014.415347731</v>
      </c>
      <c r="E244" s="65" t="n">
        <f aca="false">IF(E$5="A",Inputs_Actuals!E169,Inputs_Actuals!$C$195)</f>
        <v>42455.68</v>
      </c>
      <c r="F244" s="65" t="n">
        <f aca="false">IF(F$5="A",Inputs_Actuals!F169,E245)</f>
        <v>43544.32</v>
      </c>
      <c r="G244" s="65" t="n">
        <f aca="false">IF(G$5="A",Inputs_Actuals!G169,F245)</f>
        <v>45112.36</v>
      </c>
      <c r="H244" s="65" t="n">
        <f aca="false">IF(H$5="A",Inputs_Actuals!H169,G245)</f>
        <v>49245.99</v>
      </c>
      <c r="I244" s="65" t="n">
        <f aca="false">IF(I$5="A",Inputs_Actuals!I169,H245)</f>
        <v>47195.8</v>
      </c>
      <c r="J244" s="65" t="n">
        <f aca="false">IF(J$5="A",Inputs_Actuals!J169,I245)</f>
        <v>50719.38</v>
      </c>
      <c r="K244" s="65" t="n">
        <f aca="false">IF(K$5="A",Inputs_Actuals!K169,J245)</f>
        <v>47540.26</v>
      </c>
      <c r="L244" s="65" t="n">
        <f aca="false">IF(L$5="A",Inputs_Actuals!L169,K245)</f>
        <v>50425.29</v>
      </c>
      <c r="M244" s="65" t="n">
        <f aca="false">IF(M$5="A",Inputs_Actuals!M169,L245)</f>
        <v>50082.254</v>
      </c>
      <c r="N244" s="65" t="n">
        <f aca="false">IF(N$5="A",Inputs_Actuals!N169,M245)</f>
        <v>47171.6485325597</v>
      </c>
      <c r="O244" s="65" t="n">
        <f aca="false">IF(O$5="A",Inputs_Actuals!O169,N245)</f>
        <v>48037.8305226273</v>
      </c>
      <c r="P244" s="65" t="n">
        <f aca="false">IF(P$5="A",Inputs_Actuals!P169,O245)</f>
        <v>49867.1373556515</v>
      </c>
      <c r="Q244" s="65" t="n">
        <f aca="false">IF(Q$5="A",Inputs_Actuals!Q169,P245)</f>
        <v>49510.7703155722</v>
      </c>
      <c r="R244" s="65" t="n">
        <f aca="false">IF(R$5="A",Inputs_Actuals!R169,Q245)</f>
        <v>52547.1443520976</v>
      </c>
      <c r="S244" s="65" t="n">
        <f aca="false">IF(S$5="A",Inputs_Actuals!S169,R245)</f>
        <v>52165.4496766882</v>
      </c>
      <c r="T244" s="65" t="n">
        <f aca="false">IF(T$5="A",Inputs_Actuals!T169,S245)</f>
        <v>56992.9139111526</v>
      </c>
      <c r="U244" s="65" t="n">
        <f aca="false">IF(U$5="A",Inputs_Actuals!U169,T245)</f>
        <v>53777.6300076107</v>
      </c>
      <c r="V244" s="65" t="n">
        <f aca="false">IF(V$5="A",Inputs_Actuals!V169,U245)</f>
        <v>56956.9909188829</v>
      </c>
      <c r="W244" s="65" t="n">
        <f aca="false">IF(W$5="A",Inputs_Actuals!W169,V245)</f>
        <v>54572.5269452202</v>
      </c>
      <c r="X244" s="65" t="n">
        <f aca="false">IF(X$5="A",Inputs_Actuals!X169,W245)</f>
        <v>57545.7279740335</v>
      </c>
      <c r="Y244" s="65" t="n">
        <f aca="false">IF(Y$5="A",Inputs_Actuals!Y169,X245)</f>
        <v>57336.178868422</v>
      </c>
      <c r="Z244" s="65" t="n">
        <f aca="false">IF(Z$5="A",Inputs_Actuals!Z169,Y245)</f>
        <v>55556.4213497044</v>
      </c>
      <c r="AA244" s="65" t="n">
        <f aca="false">IF(AA$5="A",Inputs_Actuals!AA169,Z245)</f>
        <v>55927.6180358496</v>
      </c>
      <c r="AB244" s="65" t="n">
        <f aca="false">IF(AB$5="A",Inputs_Actuals!AB169,AA245)</f>
        <v>57125.0429924967</v>
      </c>
    </row>
    <row r="245" customFormat="false" ht="15" hidden="false" customHeight="false" outlineLevel="0" collapsed="false">
      <c r="A245" s="58" t="s">
        <v>1339</v>
      </c>
      <c r="B245" s="59"/>
      <c r="C245" s="60" t="n">
        <f aca="false">P245</f>
        <v>49510.7703155722</v>
      </c>
      <c r="D245" s="60" t="n">
        <f aca="false">AB245</f>
        <v>56754.4656830146</v>
      </c>
      <c r="E245" s="61" t="n">
        <f aca="false">Inputs_Actuals!$C$195+E243-E244</f>
        <v>43544.32</v>
      </c>
      <c r="F245" s="60" t="n">
        <f aca="false">E245+F243-F244</f>
        <v>45112.36</v>
      </c>
      <c r="G245" s="60" t="n">
        <f aca="false">F245+G243-G244</f>
        <v>49245.9852</v>
      </c>
      <c r="H245" s="60" t="n">
        <f aca="false">G245+H243-H244</f>
        <v>47195.7952</v>
      </c>
      <c r="I245" s="60" t="n">
        <f aca="false">H245+I243-I244</f>
        <v>50719.3776</v>
      </c>
      <c r="J245" s="60" t="n">
        <f aca="false">I245+J243-J244</f>
        <v>47540.2576</v>
      </c>
      <c r="K245" s="60" t="n">
        <f aca="false">J245+K243-K244</f>
        <v>50425.2828</v>
      </c>
      <c r="L245" s="60" t="n">
        <f aca="false">K245+L243-L244</f>
        <v>50082.254</v>
      </c>
      <c r="M245" s="60" t="n">
        <f aca="false">L245+M243-M244</f>
        <v>47171.6485325597</v>
      </c>
      <c r="N245" s="60" t="n">
        <f aca="false">M245+N243-N244</f>
        <v>48037.8305226273</v>
      </c>
      <c r="O245" s="60" t="n">
        <f aca="false">N245+O243-O244</f>
        <v>49867.1373556515</v>
      </c>
      <c r="P245" s="60" t="n">
        <f aca="false">O245+P243-P244</f>
        <v>49510.7703155722</v>
      </c>
      <c r="Q245" s="60" t="n">
        <f aca="false">P245+Q243-Q244</f>
        <v>52547.1443520976</v>
      </c>
      <c r="R245" s="60" t="n">
        <f aca="false">Q245+R243-R244</f>
        <v>52165.4496766882</v>
      </c>
      <c r="S245" s="60" t="n">
        <f aca="false">R245+S243-S244</f>
        <v>56992.9139111526</v>
      </c>
      <c r="T245" s="60" t="n">
        <f aca="false">S245+T243-T244</f>
        <v>53777.6300076107</v>
      </c>
      <c r="U245" s="60" t="n">
        <f aca="false">T245+U243-U244</f>
        <v>56956.9909188829</v>
      </c>
      <c r="V245" s="60" t="n">
        <f aca="false">U245+V243-V244</f>
        <v>54572.5269452202</v>
      </c>
      <c r="W245" s="60" t="n">
        <f aca="false">V245+W243-W244</f>
        <v>57545.7279740335</v>
      </c>
      <c r="X245" s="60" t="n">
        <f aca="false">W245+X243-X244</f>
        <v>57336.178868422</v>
      </c>
      <c r="Y245" s="60" t="n">
        <f aca="false">X245+Y243-Y244</f>
        <v>55556.4213497044</v>
      </c>
      <c r="Z245" s="60" t="n">
        <f aca="false">Y245+Z243-Z244</f>
        <v>55927.6180358496</v>
      </c>
      <c r="AA245" s="60" t="n">
        <f aca="false">Z245+AA243-AA244</f>
        <v>57125.0429924967</v>
      </c>
      <c r="AB245" s="60" t="n">
        <f aca="false">AA245+AB243-AB244</f>
        <v>56754.4656830146</v>
      </c>
    </row>
    <row r="246" customFormat="false" ht="15" hidden="false" customHeight="false" outlineLevel="0" collapsed="false">
      <c r="A246" s="28" t="s">
        <v>1340</v>
      </c>
      <c r="B246" s="62"/>
      <c r="C246" s="64" t="n">
        <f aca="false">SUM(E246:P246)</f>
        <v>1017352.02316603</v>
      </c>
      <c r="D246" s="64" t="n">
        <f aca="false">SUM(Q246:AB246)</f>
        <v>1187837.93705767</v>
      </c>
      <c r="E246" s="73" t="n">
        <f aca="false">E176+E186+E196+E206+E179+E189+E199+E209+E177+E187+E197+E207+E234</f>
        <v>75173.11</v>
      </c>
      <c r="F246" s="73" t="n">
        <f aca="false">F176+F186+F196+F206+F179+F189+F199+F209+F177+F187+F197+F207+F234</f>
        <v>77939.69</v>
      </c>
      <c r="G246" s="73" t="n">
        <f aca="false">G176+G186+G196+G206+G179+G189+G199+G209+G177+G187+G197+G207+G234</f>
        <v>87441.15</v>
      </c>
      <c r="H246" s="73" t="n">
        <f aca="false">H176+H186+H196+H206+H179+H189+H199+H209+H177+H187+H197+H207+H234</f>
        <v>81918.61</v>
      </c>
      <c r="I246" s="73" t="n">
        <f aca="false">I176+I186+I196+I206+I179+I189+I199+I209+I177+I187+I197+I207+I234</f>
        <v>90697.69</v>
      </c>
      <c r="J246" s="73" t="n">
        <f aca="false">J176+J186+J196+J206+J179+J189+J199+J209+J177+J187+J197+J207+J234</f>
        <v>82524.46</v>
      </c>
      <c r="K246" s="73" t="n">
        <f aca="false">K176+K186+K196+K206+K179+K189+K199+K209+K177+K187+K197+K207+K234</f>
        <v>89698.04</v>
      </c>
      <c r="L246" s="73" t="n">
        <f aca="false">L176+L186+L196+L206+L179+L189+L199+L209+L177+L187+L197+L207+L234</f>
        <v>89269.91</v>
      </c>
      <c r="M246" s="73" t="n">
        <f aca="false">M176+M186+M196+M206+M179+M189+M199+M209+M177+M187+M197+M207+M234</f>
        <v>82399.7543644444</v>
      </c>
      <c r="N246" s="73" t="n">
        <f aca="false">N176+N186+N196+N206+N179+N189+N199+N209+N177+N187+N197+N207+N234</f>
        <v>84331.1519792162</v>
      </c>
      <c r="O246" s="73" t="n">
        <f aca="false">O176+O186+O196+O206+O179+O189+O199+O209+O177+O187+O197+O207+O234</f>
        <v>88416.4370296205</v>
      </c>
      <c r="P246" s="73" t="n">
        <f aca="false">P176+P186+P196+P206+P179+P189+P199+P209+P177+P187+P197+P207+P234</f>
        <v>87542.0197927471</v>
      </c>
      <c r="Q246" s="73" t="n">
        <f aca="false">Q176+Q186+Q196+Q206+Q179+Q189+Q199+Q209+Q177+Q187+Q197+Q207+Q234</f>
        <v>92315.4416516548</v>
      </c>
      <c r="R246" s="73" t="n">
        <f aca="false">R176+R186+R196+R206+R179+R189+R199+R209+R177+R187+R197+R207+R234</f>
        <v>91238.9334316711</v>
      </c>
      <c r="S246" s="73" t="n">
        <f aca="false">S176+S186+S196+S206+S179+S189+S199+S209+S177+S187+S197+S207+S234</f>
        <v>102773.89292901</v>
      </c>
      <c r="T246" s="73" t="n">
        <f aca="false">T176+T186+T196+T206+T179+T189+T199+T209+T177+T187+T197+T207+T234</f>
        <v>94754.3317159061</v>
      </c>
      <c r="U246" s="73" t="n">
        <f aca="false">U176+U186+U196+U206+U179+U189+U199+U209+U177+U187+U197+U207+U234</f>
        <v>102639.53823502</v>
      </c>
      <c r="V246" s="73" t="n">
        <f aca="false">V176+V186+V196+V206+V179+V189+V199+V209+V177+V187+V197+V207+V234</f>
        <v>96395.9312388083</v>
      </c>
      <c r="W246" s="73" t="n">
        <f aca="false">W176+W186+W196+W206+W179+W189+W199+W209+W177+W187+W197+W207+W234</f>
        <v>103661.674248824</v>
      </c>
      <c r="X246" s="73" t="n">
        <f aca="false">X176+X186+X196+X206+X179+X189+X199+X209+X177+X187+X197+X207+X234</f>
        <v>103145.694192285</v>
      </c>
      <c r="Y246" s="73" t="n">
        <f aca="false">Y176+Y186+Y196+Y206+Y179+Y189+Y199+Y209+Y177+Y187+Y197+Y207+Y234</f>
        <v>98278.8435548538</v>
      </c>
      <c r="Z246" s="73" t="n">
        <f aca="false">Z176+Z186+Z196+Z206+Z179+Z189+Z199+Z209+Z177+Z187+Z197+Z207+Z234</f>
        <v>99202.7590996312</v>
      </c>
      <c r="AA246" s="73" t="n">
        <f aca="false">AA176+AA186+AA196+AA206+AA179+AA189+AA199+AA209+AA177+AA187+AA197+AA207+AA234</f>
        <v>102174.787053469</v>
      </c>
      <c r="AB246" s="73" t="n">
        <f aca="false">AB176+AB186+AB196+AB206+AB179+AB189+AB199+AB209+AB177+AB187+AB197+AB207+AB234</f>
        <v>101256.109706536</v>
      </c>
    </row>
    <row r="247" customFormat="false" ht="15" hidden="false" customHeight="false" outlineLevel="0" collapsed="false">
      <c r="A247" s="28" t="s">
        <v>1341</v>
      </c>
      <c r="B247" s="62" t="s">
        <v>1335</v>
      </c>
      <c r="C247" s="64" t="n">
        <f aca="false">SUM(E247:P247)</f>
        <v>1002857.74337328</v>
      </c>
      <c r="D247" s="64" t="n">
        <f aca="false">SUM(Q247:AB247)</f>
        <v>1174123.84714388</v>
      </c>
      <c r="E247" s="65" t="n">
        <f aca="false">IF(E$5="A",Inputs_Actuals!E170,Inputs_Actuals!$C$196)</f>
        <v>73047.74</v>
      </c>
      <c r="F247" s="65" t="n">
        <f aca="false">IF(F$5="A",Inputs_Actuals!F170,E248)</f>
        <v>75173.11</v>
      </c>
      <c r="G247" s="65" t="n">
        <f aca="false">IF(G$5="A",Inputs_Actuals!G170,F248)</f>
        <v>77939.69</v>
      </c>
      <c r="H247" s="65" t="n">
        <f aca="false">IF(H$5="A",Inputs_Actuals!H170,G248)</f>
        <v>87441.15</v>
      </c>
      <c r="I247" s="65" t="n">
        <f aca="false">IF(I$5="A",Inputs_Actuals!I170,H248)</f>
        <v>81918.61</v>
      </c>
      <c r="J247" s="65" t="n">
        <f aca="false">IF(J$5="A",Inputs_Actuals!J170,I248)</f>
        <v>90697.69</v>
      </c>
      <c r="K247" s="65" t="n">
        <f aca="false">IF(K$5="A",Inputs_Actuals!K170,J248)</f>
        <v>82524.46</v>
      </c>
      <c r="L247" s="65" t="n">
        <f aca="false">IF(L$5="A",Inputs_Actuals!L170,K248)</f>
        <v>89698.04</v>
      </c>
      <c r="M247" s="65" t="n">
        <f aca="false">IF(M$5="A",Inputs_Actuals!M170,L248)</f>
        <v>89269.9099999999</v>
      </c>
      <c r="N247" s="65" t="n">
        <f aca="false">IF(N$5="A",Inputs_Actuals!N170,M248)</f>
        <v>82399.7543644444</v>
      </c>
      <c r="O247" s="65" t="n">
        <f aca="false">IF(O$5="A",Inputs_Actuals!O170,N248)</f>
        <v>84331.1519792162</v>
      </c>
      <c r="P247" s="65" t="n">
        <f aca="false">IF(P$5="A",Inputs_Actuals!P170,O248)</f>
        <v>88416.4370296205</v>
      </c>
      <c r="Q247" s="65" t="n">
        <f aca="false">IF(Q$5="A",Inputs_Actuals!Q170,P248)</f>
        <v>87542.0197927471</v>
      </c>
      <c r="R247" s="65" t="n">
        <f aca="false">IF(R$5="A",Inputs_Actuals!R170,Q248)</f>
        <v>92315.4416516548</v>
      </c>
      <c r="S247" s="65" t="n">
        <f aca="false">IF(S$5="A",Inputs_Actuals!S170,R248)</f>
        <v>91238.9334316711</v>
      </c>
      <c r="T247" s="65" t="n">
        <f aca="false">IF(T$5="A",Inputs_Actuals!T170,S248)</f>
        <v>102773.89292901</v>
      </c>
      <c r="U247" s="65" t="n">
        <f aca="false">IF(U$5="A",Inputs_Actuals!U170,T248)</f>
        <v>94754.3317159061</v>
      </c>
      <c r="V247" s="65" t="n">
        <f aca="false">IF(V$5="A",Inputs_Actuals!V170,U248)</f>
        <v>102639.53823502</v>
      </c>
      <c r="W247" s="65" t="n">
        <f aca="false">IF(W$5="A",Inputs_Actuals!W170,V248)</f>
        <v>96395.9312388083</v>
      </c>
      <c r="X247" s="65" t="n">
        <f aca="false">IF(X$5="A",Inputs_Actuals!X170,W248)</f>
        <v>103661.674248824</v>
      </c>
      <c r="Y247" s="65" t="n">
        <f aca="false">IF(Y$5="A",Inputs_Actuals!Y170,X248)</f>
        <v>103145.694192285</v>
      </c>
      <c r="Z247" s="65" t="n">
        <f aca="false">IF(Z$5="A",Inputs_Actuals!Z170,Y248)</f>
        <v>98278.8435548538</v>
      </c>
      <c r="AA247" s="65" t="n">
        <f aca="false">IF(AA$5="A",Inputs_Actuals!AA170,Z248)</f>
        <v>99202.7590996312</v>
      </c>
      <c r="AB247" s="65" t="n">
        <f aca="false">IF(AB$5="A",Inputs_Actuals!AB170,AA248)</f>
        <v>102174.787053469</v>
      </c>
    </row>
    <row r="248" customFormat="false" ht="15" hidden="false" customHeight="false" outlineLevel="0" collapsed="false">
      <c r="A248" s="58" t="s">
        <v>1342</v>
      </c>
      <c r="B248" s="59"/>
      <c r="C248" s="60" t="n">
        <f aca="false">P248</f>
        <v>87542.0197927471</v>
      </c>
      <c r="D248" s="60" t="n">
        <f aca="false">AB248</f>
        <v>101256.109706536</v>
      </c>
      <c r="E248" s="61" t="n">
        <f aca="false">Inputs_Actuals!$C$196+E246-E247</f>
        <v>75173.11</v>
      </c>
      <c r="F248" s="60" t="n">
        <f aca="false">E248+F246-F247</f>
        <v>77939.69</v>
      </c>
      <c r="G248" s="60" t="n">
        <f aca="false">F248+G246-G247</f>
        <v>87441.15</v>
      </c>
      <c r="H248" s="60" t="n">
        <f aca="false">G248+H246-H247</f>
        <v>81918.61</v>
      </c>
      <c r="I248" s="60" t="n">
        <f aca="false">H248+I246-I247</f>
        <v>90697.6899999999</v>
      </c>
      <c r="J248" s="60" t="n">
        <f aca="false">I248+J246-J247</f>
        <v>82524.4599999999</v>
      </c>
      <c r="K248" s="60" t="n">
        <f aca="false">J248+K246-K247</f>
        <v>89698.0399999999</v>
      </c>
      <c r="L248" s="60" t="n">
        <f aca="false">K248+L246-L247</f>
        <v>89269.9099999999</v>
      </c>
      <c r="M248" s="60" t="n">
        <f aca="false">L248+M246-M247</f>
        <v>82399.7543644444</v>
      </c>
      <c r="N248" s="60" t="n">
        <f aca="false">M248+N246-N247</f>
        <v>84331.1519792162</v>
      </c>
      <c r="O248" s="60" t="n">
        <f aca="false">N248+O246-O247</f>
        <v>88416.4370296205</v>
      </c>
      <c r="P248" s="60" t="n">
        <f aca="false">O248+P246-P247</f>
        <v>87542.0197927471</v>
      </c>
      <c r="Q248" s="60" t="n">
        <f aca="false">P248+Q246-Q247</f>
        <v>92315.4416516548</v>
      </c>
      <c r="R248" s="60" t="n">
        <f aca="false">Q248+R246-R247</f>
        <v>91238.9334316711</v>
      </c>
      <c r="S248" s="60" t="n">
        <f aca="false">R248+S246-S247</f>
        <v>102773.89292901</v>
      </c>
      <c r="T248" s="60" t="n">
        <f aca="false">S248+T246-T247</f>
        <v>94754.3317159061</v>
      </c>
      <c r="U248" s="60" t="n">
        <f aca="false">T248+U246-U247</f>
        <v>102639.53823502</v>
      </c>
      <c r="V248" s="60" t="n">
        <f aca="false">U248+V246-V247</f>
        <v>96395.9312388083</v>
      </c>
      <c r="W248" s="60" t="n">
        <f aca="false">V248+W246-W247</f>
        <v>103661.674248824</v>
      </c>
      <c r="X248" s="60" t="n">
        <f aca="false">W248+X246-X247</f>
        <v>103145.694192285</v>
      </c>
      <c r="Y248" s="60" t="n">
        <f aca="false">X248+Y246-Y247</f>
        <v>98278.8435548538</v>
      </c>
      <c r="Z248" s="60" t="n">
        <f aca="false">Y248+Z246-Z247</f>
        <v>99202.7590996312</v>
      </c>
      <c r="AA248" s="60" t="n">
        <f aca="false">Z248+AA246-AA247</f>
        <v>102174.787053469</v>
      </c>
      <c r="AB248" s="60" t="n">
        <f aca="false">AA248+AB246-AB247</f>
        <v>101256.109706536</v>
      </c>
    </row>
    <row r="249" customFormat="false" ht="15" hidden="false" customHeight="false" outlineLevel="0" collapsed="false">
      <c r="A249" s="28" t="s">
        <v>1343</v>
      </c>
      <c r="B249" s="62"/>
      <c r="C249" s="64" t="n">
        <f aca="false">SUM(E249:P249)</f>
        <v>4049763.1787786</v>
      </c>
      <c r="D249" s="64" t="n">
        <f aca="false">SUM(Q249:AB249)</f>
        <v>4736053.7705216</v>
      </c>
      <c r="E249" s="73" t="n">
        <f aca="false">E181+E191+E201+E211+E236</f>
        <v>302359.56</v>
      </c>
      <c r="F249" s="73" t="n">
        <f aca="false">F181+F191+F201+F211+F236</f>
        <v>312200.5</v>
      </c>
      <c r="G249" s="73" t="n">
        <f aca="false">G181+G191+G201+G211+G236</f>
        <v>343472.8843</v>
      </c>
      <c r="H249" s="73" t="n">
        <f aca="false">H181+H191+H201+H211+H236</f>
        <v>331656.04</v>
      </c>
      <c r="I249" s="73" t="n">
        <f aca="false">I181+I191+I201+I211+I236</f>
        <v>356044.8666</v>
      </c>
      <c r="J249" s="73" t="n">
        <f aca="false">J181+J191+J201+J211+J236</f>
        <v>334078.46</v>
      </c>
      <c r="K249" s="73" t="n">
        <f aca="false">K181+K191+K201+K211+K236</f>
        <v>353129.1243</v>
      </c>
      <c r="L249" s="73" t="n">
        <f aca="false">L181+L191+L201+L211+L236</f>
        <v>351637.3708</v>
      </c>
      <c r="M249" s="73" t="n">
        <f aca="false">M181+M191+M201+M211+M236</f>
        <v>330112.749157093</v>
      </c>
      <c r="N249" s="73" t="n">
        <f aca="false">N181+N191+N201+N211+N236</f>
        <v>337278.471383827</v>
      </c>
      <c r="O249" s="73" t="n">
        <f aca="false">O181+O191+O201+O211+O236</f>
        <v>350158.379631058</v>
      </c>
      <c r="P249" s="73" t="n">
        <f aca="false">P181+P191+P201+P211+P236</f>
        <v>347634.772606626</v>
      </c>
      <c r="Q249" s="73" t="n">
        <f aca="false">Q181+Q191+Q201+Q211+Q236</f>
        <v>369620.363162569</v>
      </c>
      <c r="R249" s="73" t="n">
        <f aca="false">R181+R191+R201+R211+R236</f>
        <v>367906.000308985</v>
      </c>
      <c r="S249" s="73" t="n">
        <f aca="false">S181+S191+S201+S211+S236</f>
        <v>401899.909418986</v>
      </c>
      <c r="T249" s="73" t="n">
        <f aca="false">T181+T191+T201+T211+T236</f>
        <v>381758.666858827</v>
      </c>
      <c r="U249" s="73" t="n">
        <f aca="false">U181+U191+U201+U211+U236</f>
        <v>404128.188493522</v>
      </c>
      <c r="V249" s="73" t="n">
        <f aca="false">V181+V191+V201+V211+V236</f>
        <v>387683.340820967</v>
      </c>
      <c r="W249" s="73" t="n">
        <f aca="false">W181+W191+W201+W211+W236</f>
        <v>409764.217105476</v>
      </c>
      <c r="X249" s="73" t="n">
        <f aca="false">X181+X191+X201+X211+X236</f>
        <v>408277.171694462</v>
      </c>
      <c r="Y249" s="73" t="n">
        <f aca="false">Y181+Y191+Y201+Y211+Y236</f>
        <v>395725.416005941</v>
      </c>
      <c r="Z249" s="73" t="n">
        <f aca="false">Z181+Z191+Z201+Z211+Z236</f>
        <v>398341.514896433</v>
      </c>
      <c r="AA249" s="73" t="n">
        <f aca="false">AA181+AA191+AA201+AA211+AA236</f>
        <v>406780.291962433</v>
      </c>
      <c r="AB249" s="73" t="n">
        <f aca="false">AB181+AB191+AB201+AB211+AB236</f>
        <v>404168.689792994</v>
      </c>
    </row>
    <row r="250" customFormat="false" ht="15" hidden="false" customHeight="false" outlineLevel="0" collapsed="false">
      <c r="A250" s="22" t="s">
        <v>1344</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row>
    <row r="251" customFormat="false" ht="15" hidden="false" customHeight="false" outlineLevel="0" collapsed="false">
      <c r="A251" s="28" t="s">
        <v>1345</v>
      </c>
      <c r="B251" s="62"/>
      <c r="C251" s="64" t="n">
        <f aca="false">SUM(E251:P251)</f>
        <v>5625164.15569944</v>
      </c>
      <c r="D251" s="64" t="n">
        <f aca="false">SUM(Q251:AB251)</f>
        <v>6566751.33547596</v>
      </c>
      <c r="E251" s="73" t="n">
        <f aca="false">E173+E183+E193+E203</f>
        <v>435574.46</v>
      </c>
      <c r="F251" s="73" t="n">
        <f aca="false">F173+F183+F193+F203</f>
        <v>449951.83</v>
      </c>
      <c r="G251" s="73" t="n">
        <f aca="false">G173+G183+G193+G203</f>
        <v>463804.02</v>
      </c>
      <c r="H251" s="73" t="n">
        <f aca="false">H173+H183+H193+H203</f>
        <v>476814.76</v>
      </c>
      <c r="I251" s="73" t="n">
        <f aca="false">I173+I183+I193+I203</f>
        <v>474666.9</v>
      </c>
      <c r="J251" s="73" t="n">
        <f aca="false">J173+J183+J193+J203</f>
        <v>480553.96</v>
      </c>
      <c r="K251" s="73" t="n">
        <f aca="false">K173+K183+K193+K203</f>
        <v>477258.13</v>
      </c>
      <c r="L251" s="73" t="n">
        <f aca="false">L173+L183+L193+L203</f>
        <v>471682.2</v>
      </c>
      <c r="M251" s="73" t="n">
        <f aca="false">M173+M183+M193+M203</f>
        <v>465992.361111111</v>
      </c>
      <c r="N251" s="73" t="n">
        <f aca="false">N173+N183+N193+N203</f>
        <v>472121.488425926</v>
      </c>
      <c r="O251" s="73" t="n">
        <f aca="false">O173+O183+O193+O203</f>
        <v>478452.685404128</v>
      </c>
      <c r="P251" s="73" t="n">
        <f aca="false">P173+P183+P193+P203</f>
        <v>478291.36075827</v>
      </c>
      <c r="Q251" s="73" t="n">
        <f aca="false">Q173+Q183+Q193+Q203</f>
        <v>524291.808029318</v>
      </c>
      <c r="R251" s="73" t="n">
        <f aca="false">R173+R183+R193+R203</f>
        <v>528935.185523913</v>
      </c>
      <c r="S251" s="73" t="n">
        <f aca="false">S173+S183+S193+S203</f>
        <v>535213.874548985</v>
      </c>
      <c r="T251" s="73" t="n">
        <f aca="false">T173+T183+T193+T203</f>
        <v>542980.979965839</v>
      </c>
      <c r="U251" s="73" t="n">
        <f aca="false">U173+U183+U193+U203</f>
        <v>542819.18290635</v>
      </c>
      <c r="V251" s="73" t="n">
        <f aca="false">V173+V183+V193+V203</f>
        <v>548718.244129671</v>
      </c>
      <c r="W251" s="73" t="n">
        <f aca="false">W173+W183+W193+W203</f>
        <v>552963.457941564</v>
      </c>
      <c r="X251" s="73" t="n">
        <f aca="false">X173+X183+X193+X203</f>
        <v>552886.742729908</v>
      </c>
      <c r="Y251" s="73" t="n">
        <f aca="false">Y173+Y183+Y193+Y203</f>
        <v>559554.079424991</v>
      </c>
      <c r="Z251" s="73" t="n">
        <f aca="false">Z173+Z183+Z193+Z203</f>
        <v>559499.052812203</v>
      </c>
      <c r="AA251" s="73" t="n">
        <f aca="false">AA173+AA183+AA193+AA203</f>
        <v>559443.904124852</v>
      </c>
      <c r="AB251" s="73" t="n">
        <f aca="false">AB173+AB183+AB193+AB203</f>
        <v>559444.823338366</v>
      </c>
    </row>
    <row r="252" customFormat="false" ht="15" hidden="false" customHeight="false" outlineLevel="0" collapsed="false">
      <c r="A252" s="28" t="s">
        <v>1346</v>
      </c>
      <c r="B252" s="62"/>
      <c r="C252" s="64" t="n">
        <f aca="false">SUM(E252:P252)</f>
        <v>8255197.93122822</v>
      </c>
      <c r="D252" s="64" t="n">
        <f aca="false">SUM(Q252:AB252)</f>
        <v>9646791.11376496</v>
      </c>
      <c r="E252" s="73" t="n">
        <f aca="false">E221+E223+E225+E227</f>
        <v>681595.83292943</v>
      </c>
      <c r="F252" s="73" t="n">
        <f aca="false">F221+F223+F225+F227</f>
        <v>664661.836752094</v>
      </c>
      <c r="G252" s="73" t="n">
        <f aca="false">G221+G223+G225+G227</f>
        <v>714088.03841557</v>
      </c>
      <c r="H252" s="73" t="n">
        <f aca="false">H221+H223+H225+H227</f>
        <v>700292.149304331</v>
      </c>
      <c r="I252" s="73" t="n">
        <f aca="false">I221+I223+I225+I227</f>
        <v>689726.677249338</v>
      </c>
      <c r="J252" s="73" t="n">
        <f aca="false">J221+J223+J225+J227</f>
        <v>728454.094152867</v>
      </c>
      <c r="K252" s="73" t="n">
        <f aca="false">K221+K223+K225+K227</f>
        <v>649991.540038381</v>
      </c>
      <c r="L252" s="73" t="n">
        <f aca="false">L221+L223+L225+L227</f>
        <v>522471.873618748</v>
      </c>
      <c r="M252" s="73" t="n">
        <f aca="false">M221+M223+M225+M227</f>
        <v>725891.439535591</v>
      </c>
      <c r="N252" s="73" t="n">
        <f aca="false">N221+N223+N225+N227</f>
        <v>719259.441431624</v>
      </c>
      <c r="O252" s="73" t="n">
        <f aca="false">O221+O223+O225+O227</f>
        <v>745575.907940526</v>
      </c>
      <c r="P252" s="73" t="n">
        <f aca="false">P221+P223+P225+P227</f>
        <v>713189.099859719</v>
      </c>
      <c r="Q252" s="73" t="n">
        <f aca="false">Q221+Q223+Q225+Q227</f>
        <v>816291.89816123</v>
      </c>
      <c r="R252" s="73" t="n">
        <f aca="false">R221+R223+R225+R227</f>
        <v>779240.828403461</v>
      </c>
      <c r="S252" s="73" t="n">
        <f aca="false">S221+S223+S225+S227</f>
        <v>825441.498846348</v>
      </c>
      <c r="T252" s="73" t="n">
        <f aca="false">T221+T223+T225+T227</f>
        <v>797452.190905817</v>
      </c>
      <c r="U252" s="73" t="n">
        <f aca="false">U221+U223+U225+U227</f>
        <v>791238.941752323</v>
      </c>
      <c r="V252" s="73" t="n">
        <f aca="false">V221+V223+V225+V227</f>
        <v>836518.79522379</v>
      </c>
      <c r="W252" s="73" t="n">
        <f aca="false">W221+W223+W225+W227</f>
        <v>739847.011047852</v>
      </c>
      <c r="X252" s="73" t="n">
        <f aca="false">X221+X223+X225+X227</f>
        <v>630064.650773268</v>
      </c>
      <c r="Y252" s="73" t="n">
        <f aca="false">Y221+Y223+Y225+Y227</f>
        <v>871909.229520587</v>
      </c>
      <c r="Z252" s="73" t="n">
        <f aca="false">Z221+Z223+Z225+Z227</f>
        <v>852984.179025662</v>
      </c>
      <c r="AA252" s="73" t="n">
        <f aca="false">AA221+AA223+AA225+AA227</f>
        <v>871624.30082387</v>
      </c>
      <c r="AB252" s="73" t="n">
        <f aca="false">AB221+AB223+AB225+AB227</f>
        <v>834177.58928075</v>
      </c>
    </row>
    <row r="253" customFormat="false" ht="15" hidden="false" customHeight="false" outlineLevel="0" collapsed="false">
      <c r="A253" s="28" t="s">
        <v>1347</v>
      </c>
      <c r="B253" s="62"/>
      <c r="C253" s="64" t="n">
        <f aca="false">SUM(E253:P253)</f>
        <v>46194.655594768</v>
      </c>
      <c r="D253" s="64" t="n">
        <f aca="false">SUM(Q253:AB253)</f>
        <v>54807.5975278918</v>
      </c>
      <c r="E253" s="73" t="n">
        <f aca="false">E175+E185+E195+E205</f>
        <v>3411.62</v>
      </c>
      <c r="F253" s="73" t="n">
        <f aca="false">F175+F185+F195+F205</f>
        <v>3411.62</v>
      </c>
      <c r="G253" s="73" t="n">
        <f aca="false">G175+G185+G195+G205</f>
        <v>3690.74</v>
      </c>
      <c r="H253" s="73" t="n">
        <f aca="false">H175+H185+H195+H205</f>
        <v>3803.18</v>
      </c>
      <c r="I253" s="73" t="n">
        <f aca="false">I175+I185+I195+I205</f>
        <v>3920.86</v>
      </c>
      <c r="J253" s="73" t="n">
        <f aca="false">J175+J185+J195+J205</f>
        <v>4204.2</v>
      </c>
      <c r="K253" s="73" t="n">
        <f aca="false">K175+K185+K195+K205</f>
        <v>3944.56</v>
      </c>
      <c r="L253" s="73" t="n">
        <f aca="false">L175+L185+L195+L205</f>
        <v>3944.56</v>
      </c>
      <c r="M253" s="73" t="n">
        <f aca="false">M175+M185+M195+M205</f>
        <v>3895.02193472678</v>
      </c>
      <c r="N253" s="73" t="n">
        <f aca="false">N175+N185+N195+N205</f>
        <v>3990.10938569455</v>
      </c>
      <c r="O253" s="73" t="n">
        <f aca="false">O175+O185+O195+O205</f>
        <v>3989.65623376054</v>
      </c>
      <c r="P253" s="73" t="n">
        <f aca="false">P175+P185+P195+P205</f>
        <v>3988.52804058615</v>
      </c>
      <c r="Q253" s="73" t="n">
        <f aca="false">Q175+Q185+Q195+Q205</f>
        <v>4094.07479218491</v>
      </c>
      <c r="R253" s="73" t="n">
        <f aca="false">R175+R185+R195+R205</f>
        <v>4211.4401114444</v>
      </c>
      <c r="S253" s="73" t="n">
        <f aca="false">S175+S185+S195+S205</f>
        <v>4207.9154017486</v>
      </c>
      <c r="T253" s="73" t="n">
        <f aca="false">T175+T185+T195+T205</f>
        <v>4606.59650935052</v>
      </c>
      <c r="U253" s="73" t="n">
        <f aca="false">U175+U185+U195+U205</f>
        <v>4600.6003858034</v>
      </c>
      <c r="V253" s="73" t="n">
        <f aca="false">V175+V185+V195+V205</f>
        <v>4594.64450974571</v>
      </c>
      <c r="W253" s="73" t="n">
        <f aca="false">W175+W185+W195+W205</f>
        <v>4750.19017167178</v>
      </c>
      <c r="X253" s="73" t="n">
        <f aca="false">X175+X185+X195+X205</f>
        <v>4749.24344377901</v>
      </c>
      <c r="Y253" s="73" t="n">
        <f aca="false">Y175+Y185+Y195+Y205</f>
        <v>4748.21032330069</v>
      </c>
      <c r="Z253" s="73" t="n">
        <f aca="false">Z175+Z185+Z195+Z205</f>
        <v>4748.22276128278</v>
      </c>
      <c r="AA253" s="73" t="n">
        <f aca="false">AA175+AA185+AA195+AA205</f>
        <v>4748.22961743054</v>
      </c>
      <c r="AB253" s="73" t="n">
        <f aca="false">AB175+AB185+AB195+AB205</f>
        <v>4748.22950014942</v>
      </c>
    </row>
    <row r="254" customFormat="false" ht="15" hidden="false" customHeight="false" outlineLevel="0" collapsed="false">
      <c r="A254" s="58" t="s">
        <v>1348</v>
      </c>
      <c r="B254" s="59" t="s">
        <v>1349</v>
      </c>
      <c r="C254" s="60" t="n">
        <f aca="false">SUM(E254:P254)</f>
        <v>2708569.69547855</v>
      </c>
      <c r="D254" s="60" t="n">
        <f aca="false">SUM(Q254:AB254)</f>
        <v>3123274.13900823</v>
      </c>
      <c r="E254" s="61" t="n">
        <f aca="false">IF(E$5="A",Inputs_Actuals!E142,E158+E159+E160+E161+E162+E163+E164+E165+E166+E167+E168+E169+E170)</f>
        <v>212406.21</v>
      </c>
      <c r="F254" s="61" t="n">
        <f aca="false">IF(F$5="A",Inputs_Actuals!F142,F158+F159+F160+F161+F162+F163+F164+F165+F166+F167+F168+F169+F170)</f>
        <v>221708.31</v>
      </c>
      <c r="G254" s="61" t="n">
        <f aca="false">IF(G$5="A",Inputs_Actuals!G142,G158+G159+G160+G161+G162+G163+G164+G165+G166+G167+G168+G169+G170)</f>
        <v>224001.73</v>
      </c>
      <c r="H254" s="61" t="n">
        <f aca="false">IF(H$5="A",Inputs_Actuals!H142,H158+H159+H160+H161+H162+H163+H164+H165+H166+H167+H168+H169+H170)</f>
        <v>232473.68</v>
      </c>
      <c r="I254" s="61" t="n">
        <f aca="false">IF(I$5="A",Inputs_Actuals!I142,I158+I159+I160+I161+I162+I163+I164+I165+I166+I167+I168+I169+I170)</f>
        <v>229318.72</v>
      </c>
      <c r="J254" s="61" t="n">
        <f aca="false">IF(J$5="A",Inputs_Actuals!J142,J158+J159+J160+J161+J162+J163+J164+J165+J166+J167+J168+J169+J170)</f>
        <v>229884.02</v>
      </c>
      <c r="K254" s="61" t="n">
        <f aca="false">IF(K$5="A",Inputs_Actuals!K142,K158+K159+K160+K161+K162+K163+K164+K165+K166+K167+K168+K169+K170)</f>
        <v>230813.22</v>
      </c>
      <c r="L254" s="61" t="n">
        <f aca="false">IF(L$5="A",Inputs_Actuals!L142,L158+L159+L160+L161+L162+L163+L164+L165+L166+L167+L168+L169+L170)</f>
        <v>225035.39</v>
      </c>
      <c r="M254" s="61" t="n">
        <f aca="false">IF(M$5="A",Inputs_Actuals!M142,M158+M159+M160+M161+M162+M163+M164+M165+M166+M167+M168+M169+M170)</f>
        <v>222163.341034444</v>
      </c>
      <c r="N254" s="61" t="n">
        <f aca="false">IF(N$5="A",Inputs_Actuals!N142,N158+N159+N160+N161+N162+N163+N164+N165+N166+N167+N168+N169+N170)</f>
        <v>226951.150509157</v>
      </c>
      <c r="O254" s="61" t="n">
        <f aca="false">IF(O$5="A",Inputs_Actuals!O142,O158+O159+O160+O161+O162+O163+O164+O165+O166+O167+O168+O169+O170)</f>
        <v>226926.809753803</v>
      </c>
      <c r="P254" s="61" t="n">
        <f aca="false">IF(P$5="A",Inputs_Actuals!P142,P158+P159+P160+P161+P162+P163+P164+P165+P166+P167+P168+P169+P170)</f>
        <v>226887.114181142</v>
      </c>
      <c r="Q254" s="61" t="n">
        <f aca="false">IF(Q$5="A",Inputs_Actuals!Q142,Q158+Q159+Q160+Q161+Q162+Q163+Q164+Q165+Q166+Q167+Q168+Q169+Q170)</f>
        <v>250877.972844975</v>
      </c>
      <c r="R254" s="61" t="n">
        <f aca="false">IF(R$5="A",Inputs_Actuals!R142,R158+R159+R160+R161+R162+R163+R164+R165+R166+R167+R168+R169+R170)</f>
        <v>250735.112255684</v>
      </c>
      <c r="S254" s="61" t="n">
        <f aca="false">IF(S$5="A",Inputs_Actuals!S142,S158+S159+S160+S161+S162+S163+S164+S165+S166+S167+S168+S169+S170)</f>
        <v>257431.450030828</v>
      </c>
      <c r="T254" s="61" t="n">
        <f aca="false">IF(T$5="A",Inputs_Actuals!T142,T158+T159+T160+T161+T162+T163+T164+T165+T166+T167+T168+T169+T170)</f>
        <v>257376.837720946</v>
      </c>
      <c r="U254" s="61" t="n">
        <f aca="false">IF(U$5="A",Inputs_Actuals!U142,U158+U159+U160+U161+U162+U163+U164+U165+U166+U167+U168+U169+U170)</f>
        <v>257321.490008735</v>
      </c>
      <c r="V254" s="61" t="n">
        <f aca="false">IF(V$5="A",Inputs_Actuals!V142,V158+V159+V160+V161+V162+V163+V164+V165+V166+V167+V168+V169+V170)</f>
        <v>260390.881425586</v>
      </c>
      <c r="W254" s="61" t="n">
        <f aca="false">IF(W$5="A",Inputs_Actuals!W142,W158+W159+W160+W161+W162+W163+W164+W165+W166+W167+W168+W169+W170)</f>
        <v>260365.764394714</v>
      </c>
      <c r="X254" s="61" t="n">
        <f aca="false">IF(X$5="A",Inputs_Actuals!X142,X158+X159+X160+X161+X162+X163+X164+X165+X166+X167+X168+X169+X170)</f>
        <v>260340.395441498</v>
      </c>
      <c r="Y254" s="61" t="n">
        <f aca="false">IF(Y$5="A",Inputs_Actuals!Y142,Y158+Y159+Y160+Y161+Y162+Y163+Y164+Y165+Y166+Y167+Y168+Y169+Y170)</f>
        <v>267179.164738032</v>
      </c>
      <c r="Z254" s="61" t="n">
        <f aca="false">IF(Z$5="A",Inputs_Actuals!Z142,Z158+Z159+Z160+Z161+Z162+Z163+Z164+Z165+Z166+Z167+Z168+Z169+Z170)</f>
        <v>267122.386401837</v>
      </c>
      <c r="AA254" s="61" t="n">
        <f aca="false">IF(AA$5="A",Inputs_Actuals!AA142,AA158+AA159+AA160+AA161+AA162+AA163+AA164+AA165+AA166+AA167+AA168+AA169+AA170)</f>
        <v>267065.869810501</v>
      </c>
      <c r="AB254" s="61" t="n">
        <f aca="false">IF(AB$5="A",Inputs_Actuals!AB142,AB158+AB159+AB160+AB161+AB162+AB163+AB164+AB165+AB166+AB167+AB168+AB169+AB170)</f>
        <v>267066.813934897</v>
      </c>
    </row>
    <row r="255" customFormat="false" ht="15" hidden="false" customHeight="false" outlineLevel="0" collapsed="false">
      <c r="A255" s="28" t="s">
        <v>1350</v>
      </c>
      <c r="B255" s="62" t="s">
        <v>1351</v>
      </c>
      <c r="C255" s="64" t="n">
        <f aca="false">SUM(E255:P255)</f>
        <v>34480.1458333333</v>
      </c>
      <c r="D255" s="64" t="n">
        <f aca="false">SUM(Q255:AB255)</f>
        <v>170572.236044663</v>
      </c>
      <c r="E255" s="65" t="n">
        <f aca="false">E37*Assumptions!$C$108</f>
        <v>0</v>
      </c>
      <c r="F255" s="65" t="n">
        <f aca="false">F37*Assumptions!$C$108</f>
        <v>0</v>
      </c>
      <c r="G255" s="65" t="n">
        <f aca="false">G37*Assumptions!$C$108</f>
        <v>0</v>
      </c>
      <c r="H255" s="65" t="n">
        <f aca="false">H37*Assumptions!$C$108</f>
        <v>0</v>
      </c>
      <c r="I255" s="65" t="n">
        <f aca="false">I37*Assumptions!$C$108</f>
        <v>0</v>
      </c>
      <c r="J255" s="65" t="n">
        <f aca="false">J37*Assumptions!$C$108</f>
        <v>0</v>
      </c>
      <c r="K255" s="65" t="n">
        <f aca="false">K37*Assumptions!$C$108</f>
        <v>0</v>
      </c>
      <c r="L255" s="65" t="n">
        <f aca="false">L37*Assumptions!$C$108</f>
        <v>0</v>
      </c>
      <c r="M255" s="65" t="n">
        <f aca="false">M37*Assumptions!$C$108</f>
        <v>0</v>
      </c>
      <c r="N255" s="65" t="n">
        <f aca="false">N37*Assumptions!$C$108</f>
        <v>15000</v>
      </c>
      <c r="O255" s="65" t="n">
        <f aca="false">O37*Assumptions!$C$108</f>
        <v>13525</v>
      </c>
      <c r="P255" s="65" t="n">
        <f aca="false">P37*Assumptions!$C$108</f>
        <v>5955.14583333333</v>
      </c>
      <c r="Q255" s="65" t="n">
        <f aca="false">Q37*Assumptions!$C$108</f>
        <v>43542.4383506944</v>
      </c>
      <c r="R255" s="65" t="n">
        <f aca="false">R37*Assumptions!$C$108</f>
        <v>13667.5264949797</v>
      </c>
      <c r="S255" s="65" t="n">
        <f aca="false">S37*Assumptions!$C$108</f>
        <v>13664.6287653364</v>
      </c>
      <c r="T255" s="65" t="n">
        <f aca="false">T37*Assumptions!$C$108</f>
        <v>21568.8311055693</v>
      </c>
      <c r="U255" s="65" t="n">
        <f aca="false">U37*Assumptions!$C$108</f>
        <v>6689.08918028669</v>
      </c>
      <c r="V255" s="65" t="n">
        <f aca="false">V37*Assumptions!$C$108</f>
        <v>14244.7835923579</v>
      </c>
      <c r="W255" s="65" t="n">
        <f aca="false">W37*Assumptions!$C$108</f>
        <v>14461.0863166168</v>
      </c>
      <c r="X255" s="65" t="n">
        <f aca="false">X37*Assumptions!$C$108</f>
        <v>6957.4427493349</v>
      </c>
      <c r="Y255" s="65" t="n">
        <f aca="false">Y37*Assumptions!$C$108</f>
        <v>14516.7760290749</v>
      </c>
      <c r="Z255" s="65" t="n">
        <f aca="false">Z37*Assumptions!$C$108</f>
        <v>7066.35492354034</v>
      </c>
      <c r="AA255" s="65" t="n">
        <f aca="false">AA37*Assumptions!$C$108</f>
        <v>7065.55161403546</v>
      </c>
      <c r="AB255" s="65" t="n">
        <f aca="false">AB37*Assumptions!$C$108</f>
        <v>7127.72692283608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1352</v>
      </c>
    </row>
    <row r="3" customFormat="false" ht="15" hidden="false" customHeight="false" outlineLevel="0" collapsed="false">
      <c r="A3" s="49" t="s">
        <v>1353</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1354</v>
      </c>
      <c r="B8" s="62" t="s">
        <v>61</v>
      </c>
      <c r="C8" s="64" t="n">
        <f aca="false">SUM(E8:P8)</f>
        <v>2708569.69547855</v>
      </c>
      <c r="D8" s="64" t="n">
        <f aca="false">SUM(Q8:AB8)</f>
        <v>3123274.13900823</v>
      </c>
      <c r="E8" s="65" t="n">
        <f aca="false">People!E254</f>
        <v>212406.21</v>
      </c>
      <c r="F8" s="65" t="n">
        <f aca="false">People!F254</f>
        <v>221708.31</v>
      </c>
      <c r="G8" s="65" t="n">
        <f aca="false">People!G254</f>
        <v>224001.73</v>
      </c>
      <c r="H8" s="65" t="n">
        <f aca="false">People!H254</f>
        <v>232473.68</v>
      </c>
      <c r="I8" s="65" t="n">
        <f aca="false">People!I254</f>
        <v>229318.72</v>
      </c>
      <c r="J8" s="65" t="n">
        <f aca="false">People!J254</f>
        <v>229884.02</v>
      </c>
      <c r="K8" s="65" t="n">
        <f aca="false">People!K254</f>
        <v>230813.22</v>
      </c>
      <c r="L8" s="65" t="n">
        <f aca="false">People!L254</f>
        <v>225035.39</v>
      </c>
      <c r="M8" s="65" t="n">
        <f aca="false">People!M254</f>
        <v>222163.341034444</v>
      </c>
      <c r="N8" s="65" t="n">
        <f aca="false">People!N254</f>
        <v>226951.150509157</v>
      </c>
      <c r="O8" s="65" t="n">
        <f aca="false">People!O254</f>
        <v>226926.809753803</v>
      </c>
      <c r="P8" s="65" t="n">
        <f aca="false">People!P254</f>
        <v>226887.114181142</v>
      </c>
      <c r="Q8" s="65" t="n">
        <f aca="false">People!Q254</f>
        <v>250877.972844975</v>
      </c>
      <c r="R8" s="65" t="n">
        <f aca="false">People!R254</f>
        <v>250735.112255684</v>
      </c>
      <c r="S8" s="65" t="n">
        <f aca="false">People!S254</f>
        <v>257431.450030828</v>
      </c>
      <c r="T8" s="65" t="n">
        <f aca="false">People!T254</f>
        <v>257376.837720946</v>
      </c>
      <c r="U8" s="65" t="n">
        <f aca="false">People!U254</f>
        <v>257321.490008735</v>
      </c>
      <c r="V8" s="65" t="n">
        <f aca="false">People!V254</f>
        <v>260390.881425586</v>
      </c>
      <c r="W8" s="65" t="n">
        <f aca="false">People!W254</f>
        <v>260365.764394714</v>
      </c>
      <c r="X8" s="65" t="n">
        <f aca="false">People!X254</f>
        <v>260340.395441498</v>
      </c>
      <c r="Y8" s="65" t="n">
        <f aca="false">People!Y254</f>
        <v>267179.164738032</v>
      </c>
      <c r="Z8" s="65" t="n">
        <f aca="false">People!Z254</f>
        <v>267122.386401837</v>
      </c>
      <c r="AA8" s="65" t="n">
        <f aca="false">People!AA254</f>
        <v>267065.869810501</v>
      </c>
      <c r="AB8" s="65" t="n">
        <f aca="false">People!AB254</f>
        <v>267066.813934897</v>
      </c>
    </row>
    <row r="9" customFormat="false" ht="15" hidden="false" customHeight="false" outlineLevel="0" collapsed="false">
      <c r="A9" s="28" t="s">
        <v>1355</v>
      </c>
      <c r="B9" s="62" t="s">
        <v>1356</v>
      </c>
      <c r="C9" s="64" t="n">
        <f aca="false">SUM(E9:P9)</f>
        <v>1083427.87819142</v>
      </c>
      <c r="D9" s="64" t="n">
        <f aca="false">SUM(Q9:AB9)</f>
        <v>1249309.65560329</v>
      </c>
      <c r="E9" s="65" t="n">
        <f aca="false">E8*Assumptions!$C$33</f>
        <v>84962.484</v>
      </c>
      <c r="F9" s="65" t="n">
        <f aca="false">F8*Assumptions!$C$33</f>
        <v>88683.324</v>
      </c>
      <c r="G9" s="65" t="n">
        <f aca="false">G8*Assumptions!$C$33</f>
        <v>89600.692</v>
      </c>
      <c r="H9" s="65" t="n">
        <f aca="false">H8*Assumptions!$C$33</f>
        <v>92989.472</v>
      </c>
      <c r="I9" s="65" t="n">
        <f aca="false">I8*Assumptions!$C$33</f>
        <v>91727.488</v>
      </c>
      <c r="J9" s="65" t="n">
        <f aca="false">J8*Assumptions!$C$33</f>
        <v>91953.608</v>
      </c>
      <c r="K9" s="65" t="n">
        <f aca="false">K8*Assumptions!$C$33</f>
        <v>92325.288</v>
      </c>
      <c r="L9" s="65" t="n">
        <f aca="false">L8*Assumptions!$C$33</f>
        <v>90014.156</v>
      </c>
      <c r="M9" s="65" t="n">
        <f aca="false">M8*Assumptions!$C$33</f>
        <v>88865.3364137778</v>
      </c>
      <c r="N9" s="65" t="n">
        <f aca="false">N8*Assumptions!$C$33</f>
        <v>90780.460203663</v>
      </c>
      <c r="O9" s="65" t="n">
        <f aca="false">O8*Assumptions!$C$33</f>
        <v>90770.7239015213</v>
      </c>
      <c r="P9" s="65" t="n">
        <f aca="false">P8*Assumptions!$C$33</f>
        <v>90754.8456724568</v>
      </c>
      <c r="Q9" s="65" t="n">
        <f aca="false">Q8*Assumptions!$C$33</f>
        <v>100351.18913799</v>
      </c>
      <c r="R9" s="65" t="n">
        <f aca="false">R8*Assumptions!$C$33</f>
        <v>100294.044902274</v>
      </c>
      <c r="S9" s="65" t="n">
        <f aca="false">S8*Assumptions!$C$33</f>
        <v>102972.580012331</v>
      </c>
      <c r="T9" s="65" t="n">
        <f aca="false">T8*Assumptions!$C$33</f>
        <v>102950.735088378</v>
      </c>
      <c r="U9" s="65" t="n">
        <f aca="false">U8*Assumptions!$C$33</f>
        <v>102928.596003494</v>
      </c>
      <c r="V9" s="65" t="n">
        <f aca="false">V8*Assumptions!$C$33</f>
        <v>104156.352570234</v>
      </c>
      <c r="W9" s="65" t="n">
        <f aca="false">W8*Assumptions!$C$33</f>
        <v>104146.305757886</v>
      </c>
      <c r="X9" s="65" t="n">
        <f aca="false">X8*Assumptions!$C$33</f>
        <v>104136.158176599</v>
      </c>
      <c r="Y9" s="65" t="n">
        <f aca="false">Y8*Assumptions!$C$33</f>
        <v>106871.665895213</v>
      </c>
      <c r="Z9" s="65" t="n">
        <f aca="false">Z8*Assumptions!$C$33</f>
        <v>106848.954560735</v>
      </c>
      <c r="AA9" s="65" t="n">
        <f aca="false">AA8*Assumptions!$C$33</f>
        <v>106826.3479242</v>
      </c>
      <c r="AB9" s="65" t="n">
        <f aca="false">AB8*Assumptions!$C$33</f>
        <v>106826.725573959</v>
      </c>
    </row>
    <row r="10" customFormat="false" ht="15" hidden="false" customHeight="false" outlineLevel="0" collapsed="false">
      <c r="A10" s="28" t="s">
        <v>1357</v>
      </c>
      <c r="B10" s="62"/>
      <c r="C10" s="64" t="n">
        <f aca="false">SUM(E10:P10)</f>
        <v>3791997.57366997</v>
      </c>
      <c r="D10" s="64" t="n">
        <f aca="false">SUM(Q10:AB10)</f>
        <v>4372583.79461153</v>
      </c>
      <c r="E10" s="73" t="n">
        <f aca="false">E8+E9</f>
        <v>297368.694</v>
      </c>
      <c r="F10" s="73" t="n">
        <f aca="false">F8+F9</f>
        <v>310391.634</v>
      </c>
      <c r="G10" s="73" t="n">
        <f aca="false">G8+G9</f>
        <v>313602.422</v>
      </c>
      <c r="H10" s="73" t="n">
        <f aca="false">H8+H9</f>
        <v>325463.152</v>
      </c>
      <c r="I10" s="73" t="n">
        <f aca="false">I8+I9</f>
        <v>321046.208</v>
      </c>
      <c r="J10" s="73" t="n">
        <f aca="false">J8+J9</f>
        <v>321837.628</v>
      </c>
      <c r="K10" s="73" t="n">
        <f aca="false">K8+K9</f>
        <v>323138.508</v>
      </c>
      <c r="L10" s="73" t="n">
        <f aca="false">L8+L9</f>
        <v>315049.546</v>
      </c>
      <c r="M10" s="73" t="n">
        <f aca="false">M8+M9</f>
        <v>311028.677448222</v>
      </c>
      <c r="N10" s="73" t="n">
        <f aca="false">N8+N9</f>
        <v>317731.61071282</v>
      </c>
      <c r="O10" s="73" t="n">
        <f aca="false">O8+O9</f>
        <v>317697.533655325</v>
      </c>
      <c r="P10" s="73" t="n">
        <f aca="false">P8+P9</f>
        <v>317641.959853599</v>
      </c>
      <c r="Q10" s="73" t="n">
        <f aca="false">Q8+Q9</f>
        <v>351229.161982965</v>
      </c>
      <c r="R10" s="73" t="n">
        <f aca="false">R8+R9</f>
        <v>351029.157157958</v>
      </c>
      <c r="S10" s="73" t="n">
        <f aca="false">S8+S9</f>
        <v>360404.030043159</v>
      </c>
      <c r="T10" s="73" t="n">
        <f aca="false">T8+T9</f>
        <v>360327.572809324</v>
      </c>
      <c r="U10" s="73" t="n">
        <f aca="false">U8+U9</f>
        <v>360250.086012229</v>
      </c>
      <c r="V10" s="73" t="n">
        <f aca="false">V8+V9</f>
        <v>364547.23399582</v>
      </c>
      <c r="W10" s="73" t="n">
        <f aca="false">W8+W9</f>
        <v>364512.0701526</v>
      </c>
      <c r="X10" s="73" t="n">
        <f aca="false">X8+X9</f>
        <v>364476.553618097</v>
      </c>
      <c r="Y10" s="73" t="n">
        <f aca="false">Y8+Y9</f>
        <v>374050.830633244</v>
      </c>
      <c r="Z10" s="73" t="n">
        <f aca="false">Z8+Z9</f>
        <v>373971.340962572</v>
      </c>
      <c r="AA10" s="73" t="n">
        <f aca="false">AA8+AA9</f>
        <v>373892.217734702</v>
      </c>
      <c r="AB10" s="73" t="n">
        <f aca="false">AB8+AB9</f>
        <v>373893.539508856</v>
      </c>
    </row>
    <row r="11" customFormat="false" ht="15" hidden="false" customHeight="false" outlineLevel="0" collapsed="false">
      <c r="A11" s="58" t="s">
        <v>1358</v>
      </c>
      <c r="B11" s="59" t="s">
        <v>1359</v>
      </c>
      <c r="C11" s="60" t="n">
        <f aca="false">SUM(E11:P11)</f>
        <v>1137599.27210099</v>
      </c>
      <c r="D11" s="60" t="n">
        <f aca="false">SUM(Q11:AB11)</f>
        <v>1311775.13838346</v>
      </c>
      <c r="E11" s="61" t="n">
        <f aca="false">E10*Assumptions!$C$32</f>
        <v>89210.6082</v>
      </c>
      <c r="F11" s="61" t="n">
        <f aca="false">F10*Assumptions!$C$32</f>
        <v>93117.4902</v>
      </c>
      <c r="G11" s="61" t="n">
        <f aca="false">G10*Assumptions!$C$32</f>
        <v>94080.7266</v>
      </c>
      <c r="H11" s="61" t="n">
        <f aca="false">H10*Assumptions!$C$32</f>
        <v>97638.9456</v>
      </c>
      <c r="I11" s="61" t="n">
        <f aca="false">I10*Assumptions!$C$32</f>
        <v>96313.8624</v>
      </c>
      <c r="J11" s="61" t="n">
        <f aca="false">J10*Assumptions!$C$32</f>
        <v>96551.2884</v>
      </c>
      <c r="K11" s="61" t="n">
        <f aca="false">K10*Assumptions!$C$32</f>
        <v>96941.5524</v>
      </c>
      <c r="L11" s="61" t="n">
        <f aca="false">L10*Assumptions!$C$32</f>
        <v>94514.8638</v>
      </c>
      <c r="M11" s="61" t="n">
        <f aca="false">M10*Assumptions!$C$32</f>
        <v>93308.6032344667</v>
      </c>
      <c r="N11" s="61" t="n">
        <f aca="false">N10*Assumptions!$C$32</f>
        <v>95319.4832138461</v>
      </c>
      <c r="O11" s="61" t="n">
        <f aca="false">O10*Assumptions!$C$32</f>
        <v>95309.2600965974</v>
      </c>
      <c r="P11" s="61" t="n">
        <f aca="false">P10*Assumptions!$C$32</f>
        <v>95292.5879560796</v>
      </c>
      <c r="Q11" s="61" t="n">
        <f aca="false">Q10*Assumptions!$C$32</f>
        <v>105368.748594889</v>
      </c>
      <c r="R11" s="61" t="n">
        <f aca="false">R10*Assumptions!$C$32</f>
        <v>105308.747147387</v>
      </c>
      <c r="S11" s="61" t="n">
        <f aca="false">S10*Assumptions!$C$32</f>
        <v>108121.209012948</v>
      </c>
      <c r="T11" s="61" t="n">
        <f aca="false">T10*Assumptions!$C$32</f>
        <v>108098.271842797</v>
      </c>
      <c r="U11" s="61" t="n">
        <f aca="false">U10*Assumptions!$C$32</f>
        <v>108075.025803669</v>
      </c>
      <c r="V11" s="61" t="n">
        <f aca="false">V10*Assumptions!$C$32</f>
        <v>109364.170198746</v>
      </c>
      <c r="W11" s="61" t="n">
        <f aca="false">W10*Assumptions!$C$32</f>
        <v>109353.62104578</v>
      </c>
      <c r="X11" s="61" t="n">
        <f aca="false">X10*Assumptions!$C$32</f>
        <v>109342.966085429</v>
      </c>
      <c r="Y11" s="61" t="n">
        <f aca="false">Y10*Assumptions!$C$32</f>
        <v>112215.249189973</v>
      </c>
      <c r="Z11" s="61" t="n">
        <f aca="false">Z10*Assumptions!$C$32</f>
        <v>112191.402288772</v>
      </c>
      <c r="AA11" s="61" t="n">
        <f aca="false">AA10*Assumptions!$C$32</f>
        <v>112167.66532041</v>
      </c>
      <c r="AB11" s="61" t="n">
        <f aca="false">AB10*Assumptions!$C$32</f>
        <v>112168.061852657</v>
      </c>
    </row>
    <row r="12" customFormat="false" ht="15" hidden="false" customHeight="false" outlineLevel="0" collapsed="false">
      <c r="A12" s="28" t="s">
        <v>1360</v>
      </c>
      <c r="B12" s="62" t="s">
        <v>1361</v>
      </c>
      <c r="C12" s="64" t="n">
        <f aca="false">SUM(E12:P12)</f>
        <v>935770</v>
      </c>
      <c r="D12" s="64" t="n">
        <f aca="false">SUM(Q12:AB12)</f>
        <v>1137599.27210099</v>
      </c>
      <c r="E12" s="65" t="n">
        <f aca="false">IF(E$5="A",Inputs_Actuals!E159,IF(Assumptions!E$203=Assumptions!$F$192,Research_Credit!$C$11,0))</f>
        <v>0</v>
      </c>
      <c r="F12" s="65" t="n">
        <f aca="false">IF(F$5="A",Inputs_Actuals!F159,IF(Assumptions!F$203=Assumptions!$F$192,Research_Credit!$C$11,0))</f>
        <v>0</v>
      </c>
      <c r="G12" s="65" t="n">
        <f aca="false">IF(G$5="A",Inputs_Actuals!G159,IF(Assumptions!G$203=Assumptions!$F$192,Research_Credit!$C$11,0))</f>
        <v>0</v>
      </c>
      <c r="H12" s="65" t="n">
        <f aca="false">IF(H$5="A",Inputs_Actuals!H159,IF(Assumptions!H$203=Assumptions!$F$192,Research_Credit!$C$11,0))</f>
        <v>0</v>
      </c>
      <c r="I12" s="65" t="n">
        <f aca="false">IF(I$5="A",Inputs_Actuals!I159,IF(Assumptions!I$203=Assumptions!$F$192,Research_Credit!$C$11,0))</f>
        <v>0</v>
      </c>
      <c r="J12" s="65" t="n">
        <f aca="false">IF(J$5="A",Inputs_Actuals!J159,IF(Assumptions!J$203=Assumptions!$F$192,Research_Credit!$C$11,0))</f>
        <v>0</v>
      </c>
      <c r="K12" s="65" t="n">
        <f aca="false">IF(K$5="A",Inputs_Actuals!K159,IF(Assumptions!K$203=Assumptions!$F$192,Research_Credit!$C$11,0))</f>
        <v>935770</v>
      </c>
      <c r="L12" s="65" t="n">
        <f aca="false">IF(L$5="A",Inputs_Actuals!L159,IF(Assumptions!L$203=Assumptions!$F$192,Research_Credit!$C$11,0))</f>
        <v>0</v>
      </c>
      <c r="M12" s="65" t="n">
        <f aca="false">IF(M$5="A",Inputs_Actuals!M159,IF(Assumptions!M$203=Assumptions!$F$192,Research_Credit!$C$11,0))</f>
        <v>0</v>
      </c>
      <c r="N12" s="65" t="n">
        <f aca="false">IF(N$5="A",Inputs_Actuals!N159,IF(Assumptions!N$203=Assumptions!$F$192,Research_Credit!$C$11,0))</f>
        <v>0</v>
      </c>
      <c r="O12" s="65" t="n">
        <f aca="false">IF(O$5="A",Inputs_Actuals!O159,IF(Assumptions!O$203=Assumptions!$F$192,Research_Credit!$C$11,0))</f>
        <v>0</v>
      </c>
      <c r="P12" s="65" t="n">
        <f aca="false">IF(P$5="A",Inputs_Actuals!P159,IF(Assumptions!P$203=Assumptions!$F$192,Research_Credit!$C$11,0))</f>
        <v>0</v>
      </c>
      <c r="Q12" s="65" t="n">
        <f aca="false">IF(Q$5="A",Inputs_Actuals!Q159,IF(Assumptions!Q$203=Assumptions!$F$192,Research_Credit!$C$11,0))</f>
        <v>0</v>
      </c>
      <c r="R12" s="65" t="n">
        <f aca="false">IF(R$5="A",Inputs_Actuals!R159,IF(Assumptions!R$203=Assumptions!$F$192,Research_Credit!$C$11,0))</f>
        <v>0</v>
      </c>
      <c r="S12" s="65" t="n">
        <f aca="false">IF(S$5="A",Inputs_Actuals!S159,IF(Assumptions!S$203=Assumptions!$F$192,Research_Credit!$C$11,0))</f>
        <v>0</v>
      </c>
      <c r="T12" s="65" t="n">
        <f aca="false">IF(T$5="A",Inputs_Actuals!T159,IF(Assumptions!T$203=Assumptions!$F$192,Research_Credit!$C$11,0))</f>
        <v>0</v>
      </c>
      <c r="U12" s="65" t="n">
        <f aca="false">IF(U$5="A",Inputs_Actuals!U159,IF(Assumptions!U$203=Assumptions!$F$192,Research_Credit!$C$11,0))</f>
        <v>0</v>
      </c>
      <c r="V12" s="65" t="n">
        <f aca="false">IF(V$5="A",Inputs_Actuals!V159,IF(Assumptions!V$203=Assumptions!$F$192,Research_Credit!$C$11,0))</f>
        <v>0</v>
      </c>
      <c r="W12" s="65" t="n">
        <f aca="false">IF(W$5="A",Inputs_Actuals!W159,IF(Assumptions!W$203=Assumptions!$F$192,Research_Credit!$C$11,0))</f>
        <v>0</v>
      </c>
      <c r="X12" s="65" t="n">
        <f aca="false">IF(X$5="A",Inputs_Actuals!X159,IF(Assumptions!X$203=Assumptions!$F$192,Research_Credit!$C$11,0))</f>
        <v>0</v>
      </c>
      <c r="Y12" s="65" t="n">
        <f aca="false">IF(Y$5="A",Inputs_Actuals!Y159,IF(Assumptions!Y$203=Assumptions!$F$192,Research_Credit!$C$11,0))</f>
        <v>1137599.27210099</v>
      </c>
      <c r="Z12" s="65" t="n">
        <f aca="false">IF(Z$5="A",Inputs_Actuals!Z159,IF(Assumptions!Z$203=Assumptions!$F$192,Research_Credit!$C$11,0))</f>
        <v>0</v>
      </c>
      <c r="AA12" s="65" t="n">
        <f aca="false">IF(AA$5="A",Inputs_Actuals!AA159,IF(Assumptions!AA$203=Assumptions!$F$192,Research_Credit!$C$11,0))</f>
        <v>0</v>
      </c>
      <c r="AB12" s="65" t="n">
        <f aca="false">IF(AB$5="A",Inputs_Actuals!AB159,IF(Assumptions!AB$203=Assumptions!$F$192,Research_Credit!$C$11,0))</f>
        <v>0</v>
      </c>
    </row>
    <row r="13" customFormat="false" ht="15" hidden="false" customHeight="false" outlineLevel="0" collapsed="false">
      <c r="A13" s="58" t="s">
        <v>1362</v>
      </c>
      <c r="B13" s="59" t="s">
        <v>1363</v>
      </c>
      <c r="C13" s="60" t="n">
        <f aca="false">P13</f>
        <v>1137599.27210099</v>
      </c>
      <c r="D13" s="60" t="n">
        <f aca="false">AB13</f>
        <v>1311775.13838346</v>
      </c>
      <c r="E13" s="61" t="n">
        <f aca="false">Inputs_Actuals!$C$179+E11-E12</f>
        <v>1024980.6082</v>
      </c>
      <c r="F13" s="60" t="n">
        <f aca="false">E13+F11-F12</f>
        <v>1118098.0984</v>
      </c>
      <c r="G13" s="60" t="n">
        <f aca="false">F13+G11-G12</f>
        <v>1212178.825</v>
      </c>
      <c r="H13" s="60" t="n">
        <f aca="false">G13+H11-H12</f>
        <v>1309817.7706</v>
      </c>
      <c r="I13" s="60" t="n">
        <f aca="false">H13+I11-I12</f>
        <v>1406131.633</v>
      </c>
      <c r="J13" s="60" t="n">
        <f aca="false">I13+J11-J12</f>
        <v>1502682.9214</v>
      </c>
      <c r="K13" s="60" t="n">
        <f aca="false">J13+K11-K12</f>
        <v>663854.4738</v>
      </c>
      <c r="L13" s="60" t="n">
        <f aca="false">K13+L11-L12</f>
        <v>758369.3376</v>
      </c>
      <c r="M13" s="60" t="n">
        <f aca="false">L13+M11-M12</f>
        <v>851677.940834467</v>
      </c>
      <c r="N13" s="60" t="n">
        <f aca="false">M13+N11-N12</f>
        <v>946997.424048313</v>
      </c>
      <c r="O13" s="60" t="n">
        <f aca="false">N13+O11-O12</f>
        <v>1042306.68414491</v>
      </c>
      <c r="P13" s="60" t="n">
        <f aca="false">O13+P11-P12</f>
        <v>1137599.27210099</v>
      </c>
      <c r="Q13" s="60" t="n">
        <f aca="false">P13+Q11-Q12</f>
        <v>1242968.02069588</v>
      </c>
      <c r="R13" s="60" t="n">
        <f aca="false">Q13+R11-R12</f>
        <v>1348276.76784327</v>
      </c>
      <c r="S13" s="60" t="n">
        <f aca="false">R13+S11-S12</f>
        <v>1456397.97685621</v>
      </c>
      <c r="T13" s="60" t="n">
        <f aca="false">S13+T11-T12</f>
        <v>1564496.24869901</v>
      </c>
      <c r="U13" s="60" t="n">
        <f aca="false">T13+U11-U12</f>
        <v>1672571.27450268</v>
      </c>
      <c r="V13" s="60" t="n">
        <f aca="false">U13+V11-V12</f>
        <v>1781935.44470143</v>
      </c>
      <c r="W13" s="60" t="n">
        <f aca="false">V13+W11-W12</f>
        <v>1891289.06574721</v>
      </c>
      <c r="X13" s="60" t="n">
        <f aca="false">W13+X11-X12</f>
        <v>2000632.03183264</v>
      </c>
      <c r="Y13" s="60" t="n">
        <f aca="false">X13+Y11-Y12</f>
        <v>975248.008921619</v>
      </c>
      <c r="Z13" s="60" t="n">
        <f aca="false">Y13+Z11-Z12</f>
        <v>1087439.41121039</v>
      </c>
      <c r="AA13" s="60" t="n">
        <f aca="false">Z13+AA11-AA12</f>
        <v>1199607.0765308</v>
      </c>
      <c r="AB13" s="60" t="n">
        <f aca="false">AA13+AB11-AB12</f>
        <v>1311775.13838346</v>
      </c>
    </row>
    <row r="14" customFormat="false" ht="15" hidden="false" customHeight="false" outlineLevel="0" collapsed="false">
      <c r="A14" s="28" t="s">
        <v>1364</v>
      </c>
      <c r="B14" s="62"/>
      <c r="C14" s="64" t="n">
        <f aca="false">P14</f>
        <v>0</v>
      </c>
      <c r="D14" s="64" t="n">
        <f aca="false">AB14</f>
        <v>0</v>
      </c>
      <c r="E14" s="65" t="n">
        <f aca="false">Inputs_Actuals!$C$179-SUMIFS(Research_Credit!$E$12:$AB$12,Assumptions!$E$204:$AB$204,"&lt;="&amp;Assumptions!E$204,Assumptions!$E$206:$AB$206,2026)</f>
        <v>935770</v>
      </c>
      <c r="F14" s="65" t="n">
        <f aca="false">Inputs_Actuals!$C$179-SUMIFS(Research_Credit!$E$12:$AB$12,Assumptions!$E$204:$AB$204,"&lt;="&amp;Assumptions!F$204,Assumptions!$E$206:$AB$206,2026)</f>
        <v>935770</v>
      </c>
      <c r="G14" s="65" t="n">
        <f aca="false">Inputs_Actuals!$C$179-SUMIFS(Research_Credit!$E$12:$AB$12,Assumptions!$E$204:$AB$204,"&lt;="&amp;Assumptions!G$204,Assumptions!$E$206:$AB$206,2026)</f>
        <v>935770</v>
      </c>
      <c r="H14" s="65" t="n">
        <f aca="false">Inputs_Actuals!$C$179-SUMIFS(Research_Credit!$E$12:$AB$12,Assumptions!$E$204:$AB$204,"&lt;="&amp;Assumptions!H$204,Assumptions!$E$206:$AB$206,2026)</f>
        <v>935770</v>
      </c>
      <c r="I14" s="65" t="n">
        <f aca="false">Inputs_Actuals!$C$179-SUMIFS(Research_Credit!$E$12:$AB$12,Assumptions!$E$204:$AB$204,"&lt;="&amp;Assumptions!I$204,Assumptions!$E$206:$AB$206,2026)</f>
        <v>935770</v>
      </c>
      <c r="J14" s="65" t="n">
        <f aca="false">Inputs_Actuals!$C$179-SUMIFS(Research_Credit!$E$12:$AB$12,Assumptions!$E$204:$AB$204,"&lt;="&amp;Assumptions!J$204,Assumptions!$E$206:$AB$206,2026)</f>
        <v>935770</v>
      </c>
      <c r="K14" s="65" t="n">
        <f aca="false">Inputs_Actuals!$C$179-SUMIFS(Research_Credit!$E$12:$AB$12,Assumptions!$E$204:$AB$204,"&lt;="&amp;Assumptions!K$204,Assumptions!$E$206:$AB$206,2026)</f>
        <v>0</v>
      </c>
      <c r="L14" s="65" t="n">
        <f aca="false">Inputs_Actuals!$C$179-SUMIFS(Research_Credit!$E$12:$AB$12,Assumptions!$E$204:$AB$204,"&lt;="&amp;Assumptions!L$204,Assumptions!$E$206:$AB$206,2026)</f>
        <v>0</v>
      </c>
      <c r="M14" s="65" t="n">
        <f aca="false">Inputs_Actuals!$C$179-SUMIFS(Research_Credit!$E$12:$AB$12,Assumptions!$E$204:$AB$204,"&lt;="&amp;Assumptions!M$204,Assumptions!$E$206:$AB$206,2026)</f>
        <v>0</v>
      </c>
      <c r="N14" s="65" t="n">
        <f aca="false">Inputs_Actuals!$C$179-SUMIFS(Research_Credit!$E$12:$AB$12,Assumptions!$E$204:$AB$204,"&lt;="&amp;Assumptions!N$204,Assumptions!$E$206:$AB$206,2026)</f>
        <v>0</v>
      </c>
      <c r="O14" s="65" t="n">
        <f aca="false">Inputs_Actuals!$C$179-SUMIFS(Research_Credit!$E$12:$AB$12,Assumptions!$E$204:$AB$204,"&lt;="&amp;Assumptions!O$204,Assumptions!$E$206:$AB$206,2026)</f>
        <v>0</v>
      </c>
      <c r="P14" s="65" t="n">
        <f aca="false">Inputs_Actuals!$C$179-SUMIFS(Research_Credit!$E$12:$AB$12,Assumptions!$E$204:$AB$204,"&lt;="&amp;Assumptions!P$204,Assumptions!$E$206:$AB$206,2026)</f>
        <v>0</v>
      </c>
      <c r="Q14" s="65" t="n">
        <f aca="false">Inputs_Actuals!$C$179-SUMIFS(Research_Credit!$E$12:$AB$12,Assumptions!$E$204:$AB$204,"&lt;="&amp;Assumptions!Q$204,Assumptions!$E$206:$AB$206,2026)</f>
        <v>0</v>
      </c>
      <c r="R14" s="65" t="n">
        <f aca="false">Inputs_Actuals!$C$179-SUMIFS(Research_Credit!$E$12:$AB$12,Assumptions!$E$204:$AB$204,"&lt;="&amp;Assumptions!R$204,Assumptions!$E$206:$AB$206,2026)</f>
        <v>0</v>
      </c>
      <c r="S14" s="65" t="n">
        <f aca="false">Inputs_Actuals!$C$179-SUMIFS(Research_Credit!$E$12:$AB$12,Assumptions!$E$204:$AB$204,"&lt;="&amp;Assumptions!S$204,Assumptions!$E$206:$AB$206,2026)</f>
        <v>0</v>
      </c>
      <c r="T14" s="65" t="n">
        <f aca="false">Inputs_Actuals!$C$179-SUMIFS(Research_Credit!$E$12:$AB$12,Assumptions!$E$204:$AB$204,"&lt;="&amp;Assumptions!T$204,Assumptions!$E$206:$AB$206,2026)</f>
        <v>0</v>
      </c>
      <c r="U14" s="65" t="n">
        <f aca="false">Inputs_Actuals!$C$179-SUMIFS(Research_Credit!$E$12:$AB$12,Assumptions!$E$204:$AB$204,"&lt;="&amp;Assumptions!U$204,Assumptions!$E$206:$AB$206,2026)</f>
        <v>0</v>
      </c>
      <c r="V14" s="65" t="n">
        <f aca="false">Inputs_Actuals!$C$179-SUMIFS(Research_Credit!$E$12:$AB$12,Assumptions!$E$204:$AB$204,"&lt;="&amp;Assumptions!V$204,Assumptions!$E$206:$AB$206,2026)</f>
        <v>0</v>
      </c>
      <c r="W14" s="65" t="n">
        <f aca="false">Inputs_Actuals!$C$179-SUMIFS(Research_Credit!$E$12:$AB$12,Assumptions!$E$204:$AB$204,"&lt;="&amp;Assumptions!W$204,Assumptions!$E$206:$AB$206,2026)</f>
        <v>0</v>
      </c>
      <c r="X14" s="65" t="n">
        <f aca="false">Inputs_Actuals!$C$179-SUMIFS(Research_Credit!$E$12:$AB$12,Assumptions!$E$204:$AB$204,"&lt;="&amp;Assumptions!X$204,Assumptions!$E$206:$AB$206,2026)</f>
        <v>0</v>
      </c>
      <c r="Y14" s="65" t="n">
        <f aca="false">Inputs_Actuals!$C$179-SUMIFS(Research_Credit!$E$12:$AB$12,Assumptions!$E$204:$AB$204,"&lt;="&amp;Assumptions!Y$204,Assumptions!$E$206:$AB$206,2026)</f>
        <v>0</v>
      </c>
      <c r="Z14" s="65" t="n">
        <f aca="false">Inputs_Actuals!$C$179-SUMIFS(Research_Credit!$E$12:$AB$12,Assumptions!$E$204:$AB$204,"&lt;="&amp;Assumptions!Z$204,Assumptions!$E$206:$AB$206,2026)</f>
        <v>0</v>
      </c>
      <c r="AA14" s="65" t="n">
        <f aca="false">Inputs_Actuals!$C$179-SUMIFS(Research_Credit!$E$12:$AB$12,Assumptions!$E$204:$AB$204,"&lt;="&amp;Assumptions!AA$204,Assumptions!$E$206:$AB$206,2026)</f>
        <v>0</v>
      </c>
      <c r="AB14" s="65" t="n">
        <f aca="false">Inputs_Actuals!$C$179-SUMIFS(Research_Credit!$E$12:$AB$12,Assumptions!$E$204:$AB$204,"&lt;="&amp;Assumptions!AB$204,Assumptions!$E$206:$AB$206,2026)</f>
        <v>0</v>
      </c>
    </row>
    <row r="15" customFormat="false" ht="15" hidden="false" customHeight="false" outlineLevel="0" collapsed="false">
      <c r="A15" s="28" t="s">
        <v>1365</v>
      </c>
      <c r="B15" s="62"/>
      <c r="C15" s="64" t="n">
        <f aca="false">P15</f>
        <v>1137599.27210099</v>
      </c>
      <c r="D15" s="64" t="n">
        <f aca="false">AB15</f>
        <v>0</v>
      </c>
      <c r="E15" s="65" t="n">
        <f aca="false">SUMIFS(Research_Credit!$E$11:$AB$11,Assumptions!$E$204:$AB$204,"&lt;="&amp;Assumptions!E$204,Assumptions!$E$206:$AB$206,2026)-SUMIFS(Research_Credit!$E$12:$AB$12,Assumptions!$E$204:$AB$204,"&lt;="&amp;Assumptions!E$204,Assumptions!$E$206:$AB$206,2027)</f>
        <v>89210.6082</v>
      </c>
      <c r="F15" s="65" t="n">
        <f aca="false">SUMIFS(Research_Credit!$E$11:$AB$11,Assumptions!$E$204:$AB$204,"&lt;="&amp;Assumptions!F$204,Assumptions!$E$206:$AB$206,2026)-SUMIFS(Research_Credit!$E$12:$AB$12,Assumptions!$E$204:$AB$204,"&lt;="&amp;Assumptions!F$204,Assumptions!$E$206:$AB$206,2027)</f>
        <v>182328.0984</v>
      </c>
      <c r="G15" s="65" t="n">
        <f aca="false">SUMIFS(Research_Credit!$E$11:$AB$11,Assumptions!$E$204:$AB$204,"&lt;="&amp;Assumptions!G$204,Assumptions!$E$206:$AB$206,2026)-SUMIFS(Research_Credit!$E$12:$AB$12,Assumptions!$E$204:$AB$204,"&lt;="&amp;Assumptions!G$204,Assumptions!$E$206:$AB$206,2027)</f>
        <v>276408.825</v>
      </c>
      <c r="H15" s="65" t="n">
        <f aca="false">SUMIFS(Research_Credit!$E$11:$AB$11,Assumptions!$E$204:$AB$204,"&lt;="&amp;Assumptions!H$204,Assumptions!$E$206:$AB$206,2026)-SUMIFS(Research_Credit!$E$12:$AB$12,Assumptions!$E$204:$AB$204,"&lt;="&amp;Assumptions!H$204,Assumptions!$E$206:$AB$206,2027)</f>
        <v>374047.7706</v>
      </c>
      <c r="I15" s="65" t="n">
        <f aca="false">SUMIFS(Research_Credit!$E$11:$AB$11,Assumptions!$E$204:$AB$204,"&lt;="&amp;Assumptions!I$204,Assumptions!$E$206:$AB$206,2026)-SUMIFS(Research_Credit!$E$12:$AB$12,Assumptions!$E$204:$AB$204,"&lt;="&amp;Assumptions!I$204,Assumptions!$E$206:$AB$206,2027)</f>
        <v>470361.633</v>
      </c>
      <c r="J15" s="65" t="n">
        <f aca="false">SUMIFS(Research_Credit!$E$11:$AB$11,Assumptions!$E$204:$AB$204,"&lt;="&amp;Assumptions!J$204,Assumptions!$E$206:$AB$206,2026)-SUMIFS(Research_Credit!$E$12:$AB$12,Assumptions!$E$204:$AB$204,"&lt;="&amp;Assumptions!J$204,Assumptions!$E$206:$AB$206,2027)</f>
        <v>566912.9214</v>
      </c>
      <c r="K15" s="65" t="n">
        <f aca="false">SUMIFS(Research_Credit!$E$11:$AB$11,Assumptions!$E$204:$AB$204,"&lt;="&amp;Assumptions!K$204,Assumptions!$E$206:$AB$206,2026)-SUMIFS(Research_Credit!$E$12:$AB$12,Assumptions!$E$204:$AB$204,"&lt;="&amp;Assumptions!K$204,Assumptions!$E$206:$AB$206,2027)</f>
        <v>663854.4738</v>
      </c>
      <c r="L15" s="65" t="n">
        <f aca="false">SUMIFS(Research_Credit!$E$11:$AB$11,Assumptions!$E$204:$AB$204,"&lt;="&amp;Assumptions!L$204,Assumptions!$E$206:$AB$206,2026)-SUMIFS(Research_Credit!$E$12:$AB$12,Assumptions!$E$204:$AB$204,"&lt;="&amp;Assumptions!L$204,Assumptions!$E$206:$AB$206,2027)</f>
        <v>758369.3376</v>
      </c>
      <c r="M15" s="65" t="n">
        <f aca="false">SUMIFS(Research_Credit!$E$11:$AB$11,Assumptions!$E$204:$AB$204,"&lt;="&amp;Assumptions!M$204,Assumptions!$E$206:$AB$206,2026)-SUMIFS(Research_Credit!$E$12:$AB$12,Assumptions!$E$204:$AB$204,"&lt;="&amp;Assumptions!M$204,Assumptions!$E$206:$AB$206,2027)</f>
        <v>851677.940834467</v>
      </c>
      <c r="N15" s="65" t="n">
        <f aca="false">SUMIFS(Research_Credit!$E$11:$AB$11,Assumptions!$E$204:$AB$204,"&lt;="&amp;Assumptions!N$204,Assumptions!$E$206:$AB$206,2026)-SUMIFS(Research_Credit!$E$12:$AB$12,Assumptions!$E$204:$AB$204,"&lt;="&amp;Assumptions!N$204,Assumptions!$E$206:$AB$206,2027)</f>
        <v>946997.424048313</v>
      </c>
      <c r="O15" s="65" t="n">
        <f aca="false">SUMIFS(Research_Credit!$E$11:$AB$11,Assumptions!$E$204:$AB$204,"&lt;="&amp;Assumptions!O$204,Assumptions!$E$206:$AB$206,2026)-SUMIFS(Research_Credit!$E$12:$AB$12,Assumptions!$E$204:$AB$204,"&lt;="&amp;Assumptions!O$204,Assumptions!$E$206:$AB$206,2027)</f>
        <v>1042306.68414491</v>
      </c>
      <c r="P15" s="65" t="n">
        <f aca="false">SUMIFS(Research_Credit!$E$11:$AB$11,Assumptions!$E$204:$AB$204,"&lt;="&amp;Assumptions!P$204,Assumptions!$E$206:$AB$206,2026)-SUMIFS(Research_Credit!$E$12:$AB$12,Assumptions!$E$204:$AB$204,"&lt;="&amp;Assumptions!P$204,Assumptions!$E$206:$AB$206,2027)</f>
        <v>1137599.27210099</v>
      </c>
      <c r="Q15" s="65" t="n">
        <f aca="false">SUMIFS(Research_Credit!$E$11:$AB$11,Assumptions!$E$204:$AB$204,"&lt;="&amp;Assumptions!Q$204,Assumptions!$E$206:$AB$206,2026)-SUMIFS(Research_Credit!$E$12:$AB$12,Assumptions!$E$204:$AB$204,"&lt;="&amp;Assumptions!Q$204,Assumptions!$E$206:$AB$206,2027)</f>
        <v>1137599.27210099</v>
      </c>
      <c r="R15" s="65" t="n">
        <f aca="false">SUMIFS(Research_Credit!$E$11:$AB$11,Assumptions!$E$204:$AB$204,"&lt;="&amp;Assumptions!R$204,Assumptions!$E$206:$AB$206,2026)-SUMIFS(Research_Credit!$E$12:$AB$12,Assumptions!$E$204:$AB$204,"&lt;="&amp;Assumptions!R$204,Assumptions!$E$206:$AB$206,2027)</f>
        <v>1137599.27210099</v>
      </c>
      <c r="S15" s="65" t="n">
        <f aca="false">SUMIFS(Research_Credit!$E$11:$AB$11,Assumptions!$E$204:$AB$204,"&lt;="&amp;Assumptions!S$204,Assumptions!$E$206:$AB$206,2026)-SUMIFS(Research_Credit!$E$12:$AB$12,Assumptions!$E$204:$AB$204,"&lt;="&amp;Assumptions!S$204,Assumptions!$E$206:$AB$206,2027)</f>
        <v>1137599.27210099</v>
      </c>
      <c r="T15" s="65" t="n">
        <f aca="false">SUMIFS(Research_Credit!$E$11:$AB$11,Assumptions!$E$204:$AB$204,"&lt;="&amp;Assumptions!T$204,Assumptions!$E$206:$AB$206,2026)-SUMIFS(Research_Credit!$E$12:$AB$12,Assumptions!$E$204:$AB$204,"&lt;="&amp;Assumptions!T$204,Assumptions!$E$206:$AB$206,2027)</f>
        <v>1137599.27210099</v>
      </c>
      <c r="U15" s="65" t="n">
        <f aca="false">SUMIFS(Research_Credit!$E$11:$AB$11,Assumptions!$E$204:$AB$204,"&lt;="&amp;Assumptions!U$204,Assumptions!$E$206:$AB$206,2026)-SUMIFS(Research_Credit!$E$12:$AB$12,Assumptions!$E$204:$AB$204,"&lt;="&amp;Assumptions!U$204,Assumptions!$E$206:$AB$206,2027)</f>
        <v>1137599.27210099</v>
      </c>
      <c r="V15" s="65" t="n">
        <f aca="false">SUMIFS(Research_Credit!$E$11:$AB$11,Assumptions!$E$204:$AB$204,"&lt;="&amp;Assumptions!V$204,Assumptions!$E$206:$AB$206,2026)-SUMIFS(Research_Credit!$E$12:$AB$12,Assumptions!$E$204:$AB$204,"&lt;="&amp;Assumptions!V$204,Assumptions!$E$206:$AB$206,2027)</f>
        <v>1137599.27210099</v>
      </c>
      <c r="W15" s="65" t="n">
        <f aca="false">SUMIFS(Research_Credit!$E$11:$AB$11,Assumptions!$E$204:$AB$204,"&lt;="&amp;Assumptions!W$204,Assumptions!$E$206:$AB$206,2026)-SUMIFS(Research_Credit!$E$12:$AB$12,Assumptions!$E$204:$AB$204,"&lt;="&amp;Assumptions!W$204,Assumptions!$E$206:$AB$206,2027)</f>
        <v>1137599.27210099</v>
      </c>
      <c r="X15" s="65" t="n">
        <f aca="false">SUMIFS(Research_Credit!$E$11:$AB$11,Assumptions!$E$204:$AB$204,"&lt;="&amp;Assumptions!X$204,Assumptions!$E$206:$AB$206,2026)-SUMIFS(Research_Credit!$E$12:$AB$12,Assumptions!$E$204:$AB$204,"&lt;="&amp;Assumptions!X$204,Assumptions!$E$206:$AB$206,2027)</f>
        <v>1137599.27210099</v>
      </c>
      <c r="Y15" s="65" t="n">
        <f aca="false">SUMIFS(Research_Credit!$E$11:$AB$11,Assumptions!$E$204:$AB$204,"&lt;="&amp;Assumptions!Y$204,Assumptions!$E$206:$AB$206,2026)-SUMIFS(Research_Credit!$E$12:$AB$12,Assumptions!$E$204:$AB$204,"&lt;="&amp;Assumptions!Y$204,Assumptions!$E$206:$AB$206,2027)</f>
        <v>0</v>
      </c>
      <c r="Z15" s="65" t="n">
        <f aca="false">SUMIFS(Research_Credit!$E$11:$AB$11,Assumptions!$E$204:$AB$204,"&lt;="&amp;Assumptions!Z$204,Assumptions!$E$206:$AB$206,2026)-SUMIFS(Research_Credit!$E$12:$AB$12,Assumptions!$E$204:$AB$204,"&lt;="&amp;Assumptions!Z$204,Assumptions!$E$206:$AB$206,2027)</f>
        <v>0</v>
      </c>
      <c r="AA15" s="65" t="n">
        <f aca="false">SUMIFS(Research_Credit!$E$11:$AB$11,Assumptions!$E$204:$AB$204,"&lt;="&amp;Assumptions!AA$204,Assumptions!$E$206:$AB$206,2026)-SUMIFS(Research_Credit!$E$12:$AB$12,Assumptions!$E$204:$AB$204,"&lt;="&amp;Assumptions!AA$204,Assumptions!$E$206:$AB$206,2027)</f>
        <v>0</v>
      </c>
      <c r="AB15" s="65" t="n">
        <f aca="false">SUMIFS(Research_Credit!$E$11:$AB$11,Assumptions!$E$204:$AB$204,"&lt;="&amp;Assumptions!AB$204,Assumptions!$E$206:$AB$206,2026)-SUMIFS(Research_Credit!$E$12:$AB$12,Assumptions!$E$204:$AB$204,"&lt;="&amp;Assumptions!AB$204,Assumptions!$E$206:$AB$206,2027)</f>
        <v>0</v>
      </c>
    </row>
    <row r="16" customFormat="false" ht="15" hidden="false" customHeight="false" outlineLevel="0" collapsed="false">
      <c r="A16" s="28" t="s">
        <v>1366</v>
      </c>
      <c r="B16" s="62"/>
      <c r="C16" s="64" t="n">
        <f aca="false">P16</f>
        <v>0</v>
      </c>
      <c r="D16" s="64" t="n">
        <f aca="false">AB16</f>
        <v>1311775.13838346</v>
      </c>
      <c r="E16" s="65" t="n">
        <f aca="false">SUMIFS(Research_Credit!$E$11:$AB$11,Assumptions!$E$204:$AB$204,"&lt;="&amp;Assumptions!E$204,Assumptions!$E$206:$AB$206,2027)</f>
        <v>0</v>
      </c>
      <c r="F16" s="65" t="n">
        <f aca="false">SUMIFS(Research_Credit!$E$11:$AB$11,Assumptions!$E$204:$AB$204,"&lt;="&amp;Assumptions!F$204,Assumptions!$E$206:$AB$206,2027)</f>
        <v>0</v>
      </c>
      <c r="G16" s="65" t="n">
        <f aca="false">SUMIFS(Research_Credit!$E$11:$AB$11,Assumptions!$E$204:$AB$204,"&lt;="&amp;Assumptions!G$204,Assumptions!$E$206:$AB$206,2027)</f>
        <v>0</v>
      </c>
      <c r="H16" s="65" t="n">
        <f aca="false">SUMIFS(Research_Credit!$E$11:$AB$11,Assumptions!$E$204:$AB$204,"&lt;="&amp;Assumptions!H$204,Assumptions!$E$206:$AB$206,2027)</f>
        <v>0</v>
      </c>
      <c r="I16" s="65" t="n">
        <f aca="false">SUMIFS(Research_Credit!$E$11:$AB$11,Assumptions!$E$204:$AB$204,"&lt;="&amp;Assumptions!I$204,Assumptions!$E$206:$AB$206,2027)</f>
        <v>0</v>
      </c>
      <c r="J16" s="65" t="n">
        <f aca="false">SUMIFS(Research_Credit!$E$11:$AB$11,Assumptions!$E$204:$AB$204,"&lt;="&amp;Assumptions!J$204,Assumptions!$E$206:$AB$206,2027)</f>
        <v>0</v>
      </c>
      <c r="K16" s="65" t="n">
        <f aca="false">SUMIFS(Research_Credit!$E$11:$AB$11,Assumptions!$E$204:$AB$204,"&lt;="&amp;Assumptions!K$204,Assumptions!$E$206:$AB$206,2027)</f>
        <v>0</v>
      </c>
      <c r="L16" s="65" t="n">
        <f aca="false">SUMIFS(Research_Credit!$E$11:$AB$11,Assumptions!$E$204:$AB$204,"&lt;="&amp;Assumptions!L$204,Assumptions!$E$206:$AB$206,2027)</f>
        <v>0</v>
      </c>
      <c r="M16" s="65" t="n">
        <f aca="false">SUMIFS(Research_Credit!$E$11:$AB$11,Assumptions!$E$204:$AB$204,"&lt;="&amp;Assumptions!M$204,Assumptions!$E$206:$AB$206,2027)</f>
        <v>0</v>
      </c>
      <c r="N16" s="65" t="n">
        <f aca="false">SUMIFS(Research_Credit!$E$11:$AB$11,Assumptions!$E$204:$AB$204,"&lt;="&amp;Assumptions!N$204,Assumptions!$E$206:$AB$206,2027)</f>
        <v>0</v>
      </c>
      <c r="O16" s="65" t="n">
        <f aca="false">SUMIFS(Research_Credit!$E$11:$AB$11,Assumptions!$E$204:$AB$204,"&lt;="&amp;Assumptions!O$204,Assumptions!$E$206:$AB$206,2027)</f>
        <v>0</v>
      </c>
      <c r="P16" s="65" t="n">
        <f aca="false">SUMIFS(Research_Credit!$E$11:$AB$11,Assumptions!$E$204:$AB$204,"&lt;="&amp;Assumptions!P$204,Assumptions!$E$206:$AB$206,2027)</f>
        <v>0</v>
      </c>
      <c r="Q16" s="65" t="n">
        <f aca="false">SUMIFS(Research_Credit!$E$11:$AB$11,Assumptions!$E$204:$AB$204,"&lt;="&amp;Assumptions!Q$204,Assumptions!$E$206:$AB$206,2027)</f>
        <v>105368.748594889</v>
      </c>
      <c r="R16" s="65" t="n">
        <f aca="false">SUMIFS(Research_Credit!$E$11:$AB$11,Assumptions!$E$204:$AB$204,"&lt;="&amp;Assumptions!R$204,Assumptions!$E$206:$AB$206,2027)</f>
        <v>210677.495742277</v>
      </c>
      <c r="S16" s="65" t="n">
        <f aca="false">SUMIFS(Research_Credit!$E$11:$AB$11,Assumptions!$E$204:$AB$204,"&lt;="&amp;Assumptions!S$204,Assumptions!$E$206:$AB$206,2027)</f>
        <v>318798.704755224</v>
      </c>
      <c r="T16" s="65" t="n">
        <f aca="false">SUMIFS(Research_Credit!$E$11:$AB$11,Assumptions!$E$204:$AB$204,"&lt;="&amp;Assumptions!T$204,Assumptions!$E$206:$AB$206,2027)</f>
        <v>426896.976598022</v>
      </c>
      <c r="U16" s="65" t="n">
        <f aca="false">SUMIFS(Research_Credit!$E$11:$AB$11,Assumptions!$E$204:$AB$204,"&lt;="&amp;Assumptions!U$204,Assumptions!$E$206:$AB$206,2027)</f>
        <v>534972.00240169</v>
      </c>
      <c r="V16" s="65" t="n">
        <f aca="false">SUMIFS(Research_Credit!$E$11:$AB$11,Assumptions!$E$204:$AB$204,"&lt;="&amp;Assumptions!V$204,Assumptions!$E$206:$AB$206,2027)</f>
        <v>644336.172600437</v>
      </c>
      <c r="W16" s="65" t="n">
        <f aca="false">SUMIFS(Research_Credit!$E$11:$AB$11,Assumptions!$E$204:$AB$204,"&lt;="&amp;Assumptions!W$204,Assumptions!$E$206:$AB$206,2027)</f>
        <v>753689.793646216</v>
      </c>
      <c r="X16" s="65" t="n">
        <f aca="false">SUMIFS(Research_Credit!$E$11:$AB$11,Assumptions!$E$204:$AB$204,"&lt;="&amp;Assumptions!X$204,Assumptions!$E$206:$AB$206,2027)</f>
        <v>863032.759731645</v>
      </c>
      <c r="Y16" s="65" t="n">
        <f aca="false">SUMIFS(Research_Credit!$E$11:$AB$11,Assumptions!$E$204:$AB$204,"&lt;="&amp;Assumptions!Y$204,Assumptions!$E$206:$AB$206,2027)</f>
        <v>975248.008921619</v>
      </c>
      <c r="Z16" s="65" t="n">
        <f aca="false">SUMIFS(Research_Credit!$E$11:$AB$11,Assumptions!$E$204:$AB$204,"&lt;="&amp;Assumptions!Z$204,Assumptions!$E$206:$AB$206,2027)</f>
        <v>1087439.41121039</v>
      </c>
      <c r="AA16" s="65" t="n">
        <f aca="false">SUMIFS(Research_Credit!$E$11:$AB$11,Assumptions!$E$204:$AB$204,"&lt;="&amp;Assumptions!AA$204,Assumptions!$E$206:$AB$206,2027)</f>
        <v>1199607.0765308</v>
      </c>
      <c r="AB16" s="65" t="n">
        <f aca="false">SUMIFS(Research_Credit!$E$11:$AB$11,Assumptions!$E$204:$AB$204,"&lt;="&amp;Assumptions!AB$204,Assumptions!$E$206:$AB$206,2027)</f>
        <v>1311775.13838346</v>
      </c>
    </row>
    <row r="17" customFormat="false" ht="15" hidden="false" customHeight="false" outlineLevel="0" collapsed="false">
      <c r="A17" s="28" t="s">
        <v>1367</v>
      </c>
      <c r="B17" s="62"/>
      <c r="C17" s="64" t="n">
        <f aca="false">SUM(E17:P17)</f>
        <v>0</v>
      </c>
      <c r="D17" s="64" t="n">
        <f aca="false">SUM(Q17:AB17)</f>
        <v>0</v>
      </c>
      <c r="E17" s="73" t="n">
        <f aca="false">ROUND(E13-E14-E15-E16,0)</f>
        <v>0</v>
      </c>
      <c r="F17" s="73" t="n">
        <f aca="false">ROUND(F13-F14-F15-F16,0)</f>
        <v>0</v>
      </c>
      <c r="G17" s="73" t="n">
        <f aca="false">ROUND(G13-G14-G15-G16,0)</f>
        <v>0</v>
      </c>
      <c r="H17" s="73" t="n">
        <f aca="false">ROUND(H13-H14-H15-H16,0)</f>
        <v>0</v>
      </c>
      <c r="I17" s="73" t="n">
        <f aca="false">ROUND(I13-I14-I15-I16,0)</f>
        <v>0</v>
      </c>
      <c r="J17" s="73" t="n">
        <f aca="false">ROUND(J13-J14-J15-J16,0)</f>
        <v>0</v>
      </c>
      <c r="K17" s="73" t="n">
        <f aca="false">ROUND(K13-K14-K15-K16,0)</f>
        <v>0</v>
      </c>
      <c r="L17" s="73" t="n">
        <f aca="false">ROUND(L13-L14-L15-L16,0)</f>
        <v>0</v>
      </c>
      <c r="M17" s="73" t="n">
        <f aca="false">ROUND(M13-M14-M15-M16,0)</f>
        <v>0</v>
      </c>
      <c r="N17" s="73" t="n">
        <f aca="false">ROUND(N13-N14-N15-N16,0)</f>
        <v>0</v>
      </c>
      <c r="O17" s="73" t="n">
        <f aca="false">ROUND(O13-O14-O15-O16,0)</f>
        <v>0</v>
      </c>
      <c r="P17" s="73" t="n">
        <f aca="false">ROUND(P13-P14-P15-P16,0)</f>
        <v>0</v>
      </c>
      <c r="Q17" s="73" t="n">
        <f aca="false">ROUND(Q13-Q14-Q15-Q16,0)</f>
        <v>0</v>
      </c>
      <c r="R17" s="73" t="n">
        <f aca="false">ROUND(R13-R14-R15-R16,0)</f>
        <v>0</v>
      </c>
      <c r="S17" s="73" t="n">
        <f aca="false">ROUND(S13-S14-S15-S16,0)</f>
        <v>0</v>
      </c>
      <c r="T17" s="73" t="n">
        <f aca="false">ROUND(T13-T14-T15-T16,0)</f>
        <v>0</v>
      </c>
      <c r="U17" s="73" t="n">
        <f aca="false">ROUND(U13-U14-U15-U16,0)</f>
        <v>0</v>
      </c>
      <c r="V17" s="73" t="n">
        <f aca="false">ROUND(V13-V14-V15-V16,0)</f>
        <v>0</v>
      </c>
      <c r="W17" s="73" t="n">
        <f aca="false">ROUND(W13-W14-W15-W16,0)</f>
        <v>0</v>
      </c>
      <c r="X17" s="73" t="n">
        <f aca="false">ROUND(X13-X14-X15-X16,0)</f>
        <v>0</v>
      </c>
      <c r="Y17" s="73" t="n">
        <f aca="false">ROUND(Y13-Y14-Y15-Y16,0)</f>
        <v>0</v>
      </c>
      <c r="Z17" s="73" t="n">
        <f aca="false">ROUND(Z13-Z14-Z15-Z16,0)</f>
        <v>0</v>
      </c>
      <c r="AA17" s="73" t="n">
        <f aca="false">ROUND(AA13-AA14-AA15-AA16,0)</f>
        <v>0</v>
      </c>
      <c r="AB17" s="73" t="n">
        <f aca="false">ROUND(AB13-AB14-AB15-AB16,0)</f>
        <v>0</v>
      </c>
    </row>
    <row r="18" customFormat="false" ht="15" hidden="false" customHeight="false" outlineLevel="0" collapsed="false">
      <c r="A18" s="28" t="s">
        <v>1368</v>
      </c>
      <c r="B18" s="62"/>
      <c r="C18" s="66" t="n">
        <f aca="false">IF(People!C221=0,0,C11/People!C221)</f>
        <v>0.224812875333743</v>
      </c>
      <c r="D18" s="66" t="n">
        <f aca="false">IF(People!D221=0,0,D11/People!D221)</f>
        <v>0.226229921512918</v>
      </c>
      <c r="E18" s="63" t="n">
        <f aca="false">IF(People!E221=0,0,E11/People!E221)</f>
        <v>0.209210251122045</v>
      </c>
      <c r="F18" s="63" t="n">
        <f aca="false">IF(People!F221=0,0,F11/People!F221)</f>
        <v>0.224500928336342</v>
      </c>
      <c r="G18" s="63" t="n">
        <f aca="false">IF(People!G221=0,0,G11/People!G221)</f>
        <v>0.213520783285452</v>
      </c>
      <c r="H18" s="63" t="n">
        <f aca="false">IF(People!H221=0,0,H11/People!H221)</f>
        <v>0.225950070914433</v>
      </c>
      <c r="I18" s="63" t="n">
        <f aca="false">IF(People!I221=0,0,I11/People!I221)</f>
        <v>0.230377232749138</v>
      </c>
      <c r="J18" s="63" t="n">
        <f aca="false">IF(People!J221=0,0,J11/People!J221)</f>
        <v>0.216954437360916</v>
      </c>
      <c r="K18" s="63" t="n">
        <f aca="false">IF(People!K221=0,0,K11/People!K221)</f>
        <v>0.242196642357206</v>
      </c>
      <c r="L18" s="63" t="n">
        <f aca="false">IF(People!L221=0,0,L11/People!L221)</f>
        <v>0.296004327256426</v>
      </c>
      <c r="M18" s="63" t="n">
        <f aca="false">IF(People!M221=0,0,M11/People!M221)</f>
        <v>0.2104947278876</v>
      </c>
      <c r="N18" s="63" t="n">
        <f aca="false">IF(People!N221=0,0,N11/People!N221)</f>
        <v>0.216673979172367</v>
      </c>
      <c r="O18" s="63" t="n">
        <f aca="false">IF(People!O221=0,0,O11/People!O221)</f>
        <v>0.211851942191814</v>
      </c>
      <c r="P18" s="63" t="n">
        <f aca="false">IF(People!P221=0,0,P11/People!P221)</f>
        <v>0.221343572208317</v>
      </c>
      <c r="Q18" s="63" t="n">
        <f aca="false">IF(People!Q221=0,0,Q11/People!Q221)</f>
        <v>0.212990684331049</v>
      </c>
      <c r="R18" s="63" t="n">
        <f aca="false">IF(People!R221=0,0,R11/People!R221)</f>
        <v>0.225020435001404</v>
      </c>
      <c r="S18" s="63" t="n">
        <f aca="false">IF(People!S221=0,0,S11/People!S221)</f>
        <v>0.21627759074748</v>
      </c>
      <c r="T18" s="63" t="n">
        <f aca="false">IF(People!T221=0,0,T11/People!T221)</f>
        <v>0.226987182781906</v>
      </c>
      <c r="U18" s="63" t="n">
        <f aca="false">IF(People!U221=0,0,U11/People!U221)</f>
        <v>0.228683814441353</v>
      </c>
      <c r="V18" s="63" t="n">
        <f aca="false">IF(People!V221=0,0,V11/People!V221)</f>
        <v>0.217271412280538</v>
      </c>
      <c r="W18" s="63" t="n">
        <f aca="false">IF(People!W221=0,0,W11/People!W221)</f>
        <v>0.24739998681765</v>
      </c>
      <c r="X18" s="63" t="n">
        <f aca="false">IF(People!X221=0,0,X11/People!X221)</f>
        <v>0.290231407018099</v>
      </c>
      <c r="Y18" s="63" t="n">
        <f aca="false">IF(People!Y221=0,0,Y11/People!Y221)</f>
        <v>0.213829524236124</v>
      </c>
      <c r="Z18" s="63" t="n">
        <f aca="false">IF(People!Z221=0,0,Z11/People!Z221)</f>
        <v>0.218521434347878</v>
      </c>
      <c r="AA18" s="63" t="n">
        <f aca="false">IF(People!AA221=0,0,AA11/People!AA221)</f>
        <v>0.213836934839893</v>
      </c>
      <c r="AB18" s="63" t="n">
        <f aca="false">IF(People!AB221=0,0,AB11/People!AB221)</f>
        <v>0.223394419006665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1369</v>
      </c>
    </row>
    <row r="3" customFormat="false" ht="15" hidden="false" customHeight="false" outlineLevel="0" collapsed="false">
      <c r="A3" s="49" t="s">
        <v>1370</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1371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858</v>
      </c>
      <c r="B9" s="62" t="s">
        <v>1372</v>
      </c>
      <c r="C9" s="64" t="n">
        <f aca="false">SUM(E9:P9)</f>
        <v>3884571.55033837</v>
      </c>
      <c r="D9" s="64" t="n">
        <f aca="false">SUM(Q9:AB9)</f>
        <v>4911239.30089629</v>
      </c>
      <c r="E9" s="65" t="n">
        <f aca="false">Credits!E61+Team!E20</f>
        <v>280545.1213</v>
      </c>
      <c r="F9" s="65" t="n">
        <f aca="false">Credits!F61+Team!F20</f>
        <v>297251.0983</v>
      </c>
      <c r="G9" s="65" t="n">
        <f aca="false">Credits!G61+Team!G20</f>
        <v>307581.0979</v>
      </c>
      <c r="H9" s="65" t="n">
        <f aca="false">Credits!H61+Team!H20</f>
        <v>302800.4581</v>
      </c>
      <c r="I9" s="65" t="n">
        <f aca="false">Credits!I61+Team!I20</f>
        <v>314817.3394</v>
      </c>
      <c r="J9" s="65" t="n">
        <f aca="false">Credits!J61+Team!J20</f>
        <v>323309.6276</v>
      </c>
      <c r="K9" s="65" t="n">
        <f aca="false">Credits!K61+Team!K20</f>
        <v>327216.2232</v>
      </c>
      <c r="L9" s="65" t="n">
        <f aca="false">Credits!L61+Team!L20</f>
        <v>320609.3165</v>
      </c>
      <c r="M9" s="65" t="n">
        <f aca="false">Credits!M61+Team!M20</f>
        <v>342918.785659803</v>
      </c>
      <c r="N9" s="65" t="n">
        <f aca="false">Credits!N61+Team!N20</f>
        <v>352123.403786479</v>
      </c>
      <c r="O9" s="65" t="n">
        <f aca="false">Credits!O61+Team!O20</f>
        <v>356993.350968818</v>
      </c>
      <c r="P9" s="65" t="n">
        <f aca="false">Credits!P61+Team!P20</f>
        <v>358405.727623273</v>
      </c>
      <c r="Q9" s="65" t="n">
        <f aca="false">Credits!Q61+Team!Q20</f>
        <v>375065.165898738</v>
      </c>
      <c r="R9" s="65" t="n">
        <f aca="false">Credits!R61+Team!R20</f>
        <v>379801.35204523</v>
      </c>
      <c r="S9" s="65" t="n">
        <f aca="false">Credits!S61+Team!S20</f>
        <v>389809.48367935</v>
      </c>
      <c r="T9" s="65" t="n">
        <f aca="false">Credits!T61+Team!T20</f>
        <v>391903.516801397</v>
      </c>
      <c r="U9" s="65" t="n">
        <f aca="false">Credits!U61+Team!U20</f>
        <v>397685.20144112</v>
      </c>
      <c r="V9" s="65" t="n">
        <f aca="false">Credits!V61+Team!V20</f>
        <v>406555.048891503</v>
      </c>
      <c r="W9" s="65" t="n">
        <f aca="false">Credits!W61+Team!W20</f>
        <v>403737.158055147</v>
      </c>
      <c r="X9" s="65" t="n">
        <f aca="false">Credits!X61+Team!X20</f>
        <v>394769.932374633</v>
      </c>
      <c r="Y9" s="65" t="n">
        <f aca="false">Credits!Y61+Team!Y20</f>
        <v>432849.885720495</v>
      </c>
      <c r="Z9" s="65" t="n">
        <f aca="false">Credits!Z61+Team!Z20</f>
        <v>443339.866166612</v>
      </c>
      <c r="AA9" s="65" t="n">
        <f aca="false">Credits!AA61+Team!AA20</f>
        <v>447876.222061476</v>
      </c>
      <c r="AB9" s="65" t="n">
        <f aca="false">Credits!AB61+Team!AB20</f>
        <v>447846.467760586</v>
      </c>
    </row>
    <row r="10" customFormat="false" ht="15" hidden="false" customHeight="false" outlineLevel="0" collapsed="false">
      <c r="A10" s="28" t="s">
        <v>414</v>
      </c>
      <c r="B10" s="62" t="s">
        <v>1373</v>
      </c>
      <c r="C10" s="64" t="n">
        <f aca="false">SUM(E10:P10)</f>
        <v>76850.2156900694</v>
      </c>
      <c r="D10" s="64" t="n">
        <f aca="false">SUM(Q10:AB10)</f>
        <v>97389.1553002925</v>
      </c>
      <c r="E10" s="65" t="n">
        <f aca="false">IF(E$5="A",Inputs_Actuals!E154,Assumptions!$C$174*E9+Assumptions!$C$175*(Credits!E62+Team!E11))</f>
        <v>5639.98</v>
      </c>
      <c r="F10" s="65" t="n">
        <f aca="false">IF(F$5="A",Inputs_Actuals!F154,Assumptions!$C$174*F9+Assumptions!$C$175*(Credits!F62+Team!F11))</f>
        <v>5763.05</v>
      </c>
      <c r="G10" s="65" t="n">
        <f aca="false">IF(G$5="A",Inputs_Actuals!G154,Assumptions!$C$174*G9+Assumptions!$C$175*(Credits!G62+Team!G11))</f>
        <v>6071.85</v>
      </c>
      <c r="H10" s="65" t="n">
        <f aca="false">IF(H$5="A",Inputs_Actuals!H154,Assumptions!$C$174*H9+Assumptions!$C$175*(Credits!H62+Team!H11))</f>
        <v>5962.55</v>
      </c>
      <c r="I10" s="65" t="n">
        <f aca="false">IF(I$5="A",Inputs_Actuals!I154,Assumptions!$C$174*I9+Assumptions!$C$175*(Credits!I62+Team!I11))</f>
        <v>6279.26</v>
      </c>
      <c r="J10" s="65" t="n">
        <f aca="false">IF(J$5="A",Inputs_Actuals!J154,Assumptions!$C$174*J9+Assumptions!$C$175*(Credits!J62+Team!J11))</f>
        <v>6407.25</v>
      </c>
      <c r="K10" s="65" t="n">
        <f aca="false">IF(K$5="A",Inputs_Actuals!K154,Assumptions!$C$174*K9+Assumptions!$C$175*(Credits!K62+Team!K11))</f>
        <v>6447.74</v>
      </c>
      <c r="L10" s="65" t="n">
        <f aca="false">IF(L$5="A",Inputs_Actuals!L154,Assumptions!$C$174*L9+Assumptions!$C$175*(Credits!L62+Team!L11))</f>
        <v>6341.18</v>
      </c>
      <c r="M10" s="65" t="n">
        <f aca="false">IF(M$5="A",Inputs_Actuals!M154,Assumptions!$C$174*M9+Assumptions!$C$175*(Credits!M62+Team!M11))</f>
        <v>6792.57963039181</v>
      </c>
      <c r="N10" s="65" t="n">
        <f aca="false">IF(N$5="A",Inputs_Actuals!N154,Assumptions!$C$174*N9+Assumptions!$C$175*(Credits!N62+Team!N11))</f>
        <v>6976.3668303962</v>
      </c>
      <c r="O10" s="65" t="n">
        <f aca="false">IF(O$5="A",Inputs_Actuals!O154,Assumptions!$C$174*O9+Assumptions!$C$175*(Credits!O62+Team!O11))</f>
        <v>7071.62740217354</v>
      </c>
      <c r="P10" s="65" t="n">
        <f aca="false">IF(P$5="A",Inputs_Actuals!P154,Assumptions!$C$174*P9+Assumptions!$C$175*(Credits!P62+Team!P11))</f>
        <v>7096.78182710785</v>
      </c>
      <c r="Q10" s="65" t="n">
        <f aca="false">IF(Q$5="A",Inputs_Actuals!Q154,Assumptions!$C$174*Q9+Assumptions!$C$175*(Credits!Q62+Team!Q11))</f>
        <v>7434.0359198086</v>
      </c>
      <c r="R10" s="65" t="n">
        <f aca="false">IF(R$5="A",Inputs_Actuals!R154,Assumptions!$C$174*R9+Assumptions!$C$175*(Credits!R62+Team!R11))</f>
        <v>7526.75955702791</v>
      </c>
      <c r="S10" s="65" t="n">
        <f aca="false">IF(S$5="A",Inputs_Actuals!S154,Assumptions!$C$174*S9+Assumptions!$C$175*(Credits!S62+Team!S11))</f>
        <v>7727.63071749729</v>
      </c>
      <c r="T10" s="65" t="n">
        <f aca="false">IF(T$5="A",Inputs_Actuals!T154,Assumptions!$C$174*T9+Assumptions!$C$175*(Credits!T62+Team!T11))</f>
        <v>7766.68848313978</v>
      </c>
      <c r="U10" s="65" t="n">
        <f aca="false">IF(U$5="A",Inputs_Actuals!U154,Assumptions!$C$174*U9+Assumptions!$C$175*(Credits!U62+Team!U11))</f>
        <v>7881.81599486085</v>
      </c>
      <c r="V10" s="65" t="n">
        <f aca="false">IF(V$5="A",Inputs_Actuals!V154,Assumptions!$C$174*V9+Assumptions!$C$175*(Credits!V62+Team!V11))</f>
        <v>8060.27895977332</v>
      </c>
      <c r="W10" s="65" t="n">
        <f aca="false">IF(W$5="A",Inputs_Actuals!W154,Assumptions!$C$174*W9+Assumptions!$C$175*(Credits!W62+Team!W11))</f>
        <v>7999.74584263958</v>
      </c>
      <c r="X10" s="65" t="n">
        <f aca="false">IF(X$5="A",Inputs_Actuals!X154,Assumptions!$C$174*X9+Assumptions!$C$175*(Credits!X62+Team!X11))</f>
        <v>7814.46046725219</v>
      </c>
      <c r="Y10" s="65" t="n">
        <f aca="false">IF(Y$5="A",Inputs_Actuals!Y154,Assumptions!$C$174*Y9+Assumptions!$C$175*(Credits!Y62+Team!Y11))</f>
        <v>8592.67265477062</v>
      </c>
      <c r="Z10" s="65" t="n">
        <f aca="false">IF(Z$5="A",Inputs_Actuals!Z154,Assumptions!$C$174*Z9+Assumptions!$C$175*(Credits!Z62+Team!Z11))</f>
        <v>8803.56428494637</v>
      </c>
      <c r="AA10" s="65" t="n">
        <f aca="false">IF(AA$5="A",Inputs_Actuals!AA154,Assumptions!$C$174*AA9+Assumptions!$C$175*(Credits!AA62+Team!AA11))</f>
        <v>8892.64898000503</v>
      </c>
      <c r="AB10" s="65" t="n">
        <f aca="false">IF(AB$5="A",Inputs_Actuals!AB154,Assumptions!$C$174*AB9+Assumptions!$C$175*(Credits!AB62+Team!AB11))</f>
        <v>8888.85343857101</v>
      </c>
    </row>
    <row r="11" customFormat="false" ht="15" hidden="false" customHeight="false" outlineLevel="0" collapsed="false">
      <c r="A11" s="28" t="s">
        <v>1374</v>
      </c>
      <c r="B11" s="62" t="s">
        <v>1375</v>
      </c>
      <c r="C11" s="64" t="n">
        <f aca="false">SUM(E11:P11)</f>
        <v>3807721.3423483</v>
      </c>
      <c r="D11" s="64" t="n">
        <f aca="false">SUM(Q11:AB11)</f>
        <v>4813850.14559599</v>
      </c>
      <c r="E11" s="65" t="n">
        <f aca="false">IF(E$5="A",Inputs_Actuals!E156,E9-E10)</f>
        <v>274905.14</v>
      </c>
      <c r="F11" s="65" t="n">
        <f aca="false">IF(F$5="A",Inputs_Actuals!F156,F9-F10)</f>
        <v>291488.05</v>
      </c>
      <c r="G11" s="65" t="n">
        <f aca="false">IF(G$5="A",Inputs_Actuals!G156,G9-G10)</f>
        <v>301509.25</v>
      </c>
      <c r="H11" s="65" t="n">
        <f aca="false">IF(H$5="A",Inputs_Actuals!H156,H9-H10)</f>
        <v>296837.91</v>
      </c>
      <c r="I11" s="65" t="n">
        <f aca="false">IF(I$5="A",Inputs_Actuals!I156,I9-I10)</f>
        <v>308538.08</v>
      </c>
      <c r="J11" s="65" t="n">
        <f aca="false">IF(J$5="A",Inputs_Actuals!J156,J9-J10)</f>
        <v>316902.38</v>
      </c>
      <c r="K11" s="65" t="n">
        <f aca="false">IF(K$5="A",Inputs_Actuals!K156,K9-K10)</f>
        <v>320768.48</v>
      </c>
      <c r="L11" s="65" t="n">
        <f aca="false">IF(L$5="A",Inputs_Actuals!L156,L9-L10)</f>
        <v>314268.14</v>
      </c>
      <c r="M11" s="65" t="n">
        <f aca="false">IF(M$5="A",Inputs_Actuals!M156,M9-M10)</f>
        <v>336126.206029411</v>
      </c>
      <c r="N11" s="65" t="n">
        <f aca="false">IF(N$5="A",Inputs_Actuals!N156,N9-N10)</f>
        <v>345147.036956083</v>
      </c>
      <c r="O11" s="65" t="n">
        <f aca="false">IF(O$5="A",Inputs_Actuals!O156,O9-O10)</f>
        <v>349921.723566645</v>
      </c>
      <c r="P11" s="65" t="n">
        <f aca="false">IF(P$5="A",Inputs_Actuals!P156,P9-P10)</f>
        <v>351308.945796166</v>
      </c>
      <c r="Q11" s="65" t="n">
        <f aca="false">IF(Q$5="A",Inputs_Actuals!Q156,Q9-Q10)</f>
        <v>367631.129978929</v>
      </c>
      <c r="R11" s="65" t="n">
        <f aca="false">IF(R$5="A",Inputs_Actuals!R156,R9-R10)</f>
        <v>372274.592488202</v>
      </c>
      <c r="S11" s="65" t="n">
        <f aca="false">IF(S$5="A",Inputs_Actuals!S156,S9-S10)</f>
        <v>382081.852961852</v>
      </c>
      <c r="T11" s="65" t="n">
        <f aca="false">IF(T$5="A",Inputs_Actuals!T156,T9-T10)</f>
        <v>384136.828318257</v>
      </c>
      <c r="U11" s="65" t="n">
        <f aca="false">IF(U$5="A",Inputs_Actuals!U156,U9-U10)</f>
        <v>389803.385446259</v>
      </c>
      <c r="V11" s="65" t="n">
        <f aca="false">IF(V$5="A",Inputs_Actuals!V156,V9-V10)</f>
        <v>398494.76993173</v>
      </c>
      <c r="W11" s="65" t="n">
        <f aca="false">IF(W$5="A",Inputs_Actuals!W156,W9-W10)</f>
        <v>395737.412212508</v>
      </c>
      <c r="X11" s="65" t="n">
        <f aca="false">IF(X$5="A",Inputs_Actuals!X156,X9-X10)</f>
        <v>386955.471907381</v>
      </c>
      <c r="Y11" s="65" t="n">
        <f aca="false">IF(Y$5="A",Inputs_Actuals!Y156,Y9-Y10)</f>
        <v>424257.213065725</v>
      </c>
      <c r="Z11" s="65" t="n">
        <f aca="false">IF(Z$5="A",Inputs_Actuals!Z156,Z9-Z10)</f>
        <v>434536.301881666</v>
      </c>
      <c r="AA11" s="65" t="n">
        <f aca="false">IF(AA$5="A",Inputs_Actuals!AA156,AA9-AA10)</f>
        <v>438983.573081471</v>
      </c>
      <c r="AB11" s="65" t="n">
        <f aca="false">IF(AB$5="A",Inputs_Actuals!AB156,AB9-AB10)</f>
        <v>438957.614322015</v>
      </c>
    </row>
    <row r="12" customFormat="false" ht="15" hidden="false" customHeight="false" outlineLevel="0" collapsed="false">
      <c r="A12" s="58" t="s">
        <v>1376</v>
      </c>
      <c r="B12" s="59" t="s">
        <v>1377</v>
      </c>
      <c r="C12" s="60" t="n">
        <f aca="false">P12</f>
        <v>-0.00769999966723844</v>
      </c>
      <c r="D12" s="60" t="n">
        <f aca="false">AB12</f>
        <v>-0.00769999966723844</v>
      </c>
      <c r="E12" s="60" t="n">
        <f aca="false">0+E9-E10-E11</f>
        <v>0.00130000006174669</v>
      </c>
      <c r="F12" s="60" t="n">
        <f aca="false">E12+F9-F10-F11</f>
        <v>-0.000399999902583659</v>
      </c>
      <c r="G12" s="60" t="n">
        <f aca="false">F12+G9-G10-G11</f>
        <v>-0.00249999982770532</v>
      </c>
      <c r="H12" s="60" t="n">
        <f aca="false">G12+H9-H10-H11</f>
        <v>-0.0043999997433275</v>
      </c>
      <c r="I12" s="60" t="n">
        <f aca="false">H12+I9-I10-I11</f>
        <v>-0.00499999971361831</v>
      </c>
      <c r="J12" s="60" t="n">
        <f aca="false">I12+J9-J10-J11</f>
        <v>-0.00739999971119687</v>
      </c>
      <c r="K12" s="60" t="n">
        <f aca="false">J12+K9-K10-K11</f>
        <v>-0.00419999967562035</v>
      </c>
      <c r="L12" s="60" t="n">
        <f aca="false">K12+L9-L10-L11</f>
        <v>-0.00769999966723844</v>
      </c>
      <c r="M12" s="60" t="n">
        <f aca="false">L12+M9-M10-M11</f>
        <v>-0.00769999966723844</v>
      </c>
      <c r="N12" s="60" t="n">
        <f aca="false">M12+N9-N10-N11</f>
        <v>-0.00769999966723844</v>
      </c>
      <c r="O12" s="60" t="n">
        <f aca="false">N12+O9-O10-O11</f>
        <v>-0.00769999966723844</v>
      </c>
      <c r="P12" s="60" t="n">
        <f aca="false">O12+P9-P10-P11</f>
        <v>-0.00769999966723844</v>
      </c>
      <c r="Q12" s="60" t="n">
        <f aca="false">P12+Q9-Q10-Q11</f>
        <v>-0.00769999966723844</v>
      </c>
      <c r="R12" s="60" t="n">
        <f aca="false">Q12+R9-R10-R11</f>
        <v>-0.00769999966723844</v>
      </c>
      <c r="S12" s="60" t="n">
        <f aca="false">R12+S9-S10-S11</f>
        <v>-0.00769999966723844</v>
      </c>
      <c r="T12" s="60" t="n">
        <f aca="false">S12+T9-T10-T11</f>
        <v>-0.00769999966723844</v>
      </c>
      <c r="U12" s="60" t="n">
        <f aca="false">T12+U9-U10-U11</f>
        <v>-0.00769999966723844</v>
      </c>
      <c r="V12" s="60" t="n">
        <f aca="false">U12+V9-V10-V11</f>
        <v>-0.00769999966723844</v>
      </c>
      <c r="W12" s="60" t="n">
        <f aca="false">V12+W9-W10-W11</f>
        <v>-0.00769999966723844</v>
      </c>
      <c r="X12" s="60" t="n">
        <f aca="false">W12+X9-X10-X11</f>
        <v>-0.00769999966723844</v>
      </c>
      <c r="Y12" s="60" t="n">
        <f aca="false">X12+Y9-Y10-Y11</f>
        <v>-0.00769999966723844</v>
      </c>
      <c r="Z12" s="60" t="n">
        <f aca="false">Y12+Z9-Z10-Z11</f>
        <v>-0.00769999966723844</v>
      </c>
      <c r="AA12" s="60" t="n">
        <f aca="false">Z12+AA9-AA10-AA11</f>
        <v>-0.00769999966723844</v>
      </c>
      <c r="AB12" s="60" t="n">
        <f aca="false">AA12+AB9-AB10-AB11</f>
        <v>-0.00769999966723844</v>
      </c>
    </row>
    <row r="13" customFormat="false" ht="15" hidden="false" customHeight="false" outlineLevel="0" collapsed="false">
      <c r="A13" s="22" t="s">
        <v>1378</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1379</v>
      </c>
      <c r="B14" s="62" t="s">
        <v>51</v>
      </c>
      <c r="C14" s="64" t="n">
        <f aca="false">SUM(E14:P14)</f>
        <v>1268471.208</v>
      </c>
      <c r="D14" s="64" t="n">
        <f aca="false">SUM(Q14:AB14)</f>
        <v>1763494.36667387</v>
      </c>
      <c r="E14" s="65" t="n">
        <f aca="false">Enterprise!E204</f>
        <v>72000</v>
      </c>
      <c r="F14" s="65" t="n">
        <f aca="false">Enterprise!F204</f>
        <v>57000</v>
      </c>
      <c r="G14" s="65" t="n">
        <f aca="false">Enterprise!G204</f>
        <v>105000</v>
      </c>
      <c r="H14" s="65" t="n">
        <f aca="false">Enterprise!H204</f>
        <v>144000</v>
      </c>
      <c r="I14" s="65" t="n">
        <f aca="false">Enterprise!I204</f>
        <v>75071.208</v>
      </c>
      <c r="J14" s="65" t="n">
        <f aca="false">Enterprise!J204</f>
        <v>114000</v>
      </c>
      <c r="K14" s="65" t="n">
        <f aca="false">Enterprise!K204</f>
        <v>150000</v>
      </c>
      <c r="L14" s="65" t="n">
        <f aca="false">Enterprise!L204</f>
        <v>57000</v>
      </c>
      <c r="M14" s="65" t="n">
        <f aca="false">Enterprise!M204</f>
        <v>114000</v>
      </c>
      <c r="N14" s="65" t="n">
        <f aca="false">Enterprise!N204</f>
        <v>150000</v>
      </c>
      <c r="O14" s="65" t="n">
        <f aca="false">Enterprise!O204</f>
        <v>116400</v>
      </c>
      <c r="P14" s="65" t="n">
        <f aca="false">Enterprise!P204</f>
        <v>114000</v>
      </c>
      <c r="Q14" s="65" t="n">
        <f aca="false">Enterprise!Q204</f>
        <v>150000</v>
      </c>
      <c r="R14" s="65" t="n">
        <f aca="false">Enterprise!R204</f>
        <v>117360</v>
      </c>
      <c r="S14" s="65" t="n">
        <f aca="false">Enterprise!S204</f>
        <v>167427.413234188</v>
      </c>
      <c r="T14" s="65" t="n">
        <f aca="false">Enterprise!T204</f>
        <v>207241.183699152</v>
      </c>
      <c r="U14" s="65" t="n">
        <f aca="false">Enterprise!U204</f>
        <v>176105.769740534</v>
      </c>
      <c r="V14" s="65" t="n">
        <f aca="false">Enterprise!V204</f>
        <v>138000</v>
      </c>
      <c r="W14" s="65" t="n">
        <f aca="false">Enterprise!W204</f>
        <v>149040</v>
      </c>
      <c r="X14" s="65" t="n">
        <f aca="false">Enterprise!X204</f>
        <v>117360</v>
      </c>
      <c r="Y14" s="65" t="n">
        <f aca="false">Enterprise!Y204</f>
        <v>138000</v>
      </c>
      <c r="Z14" s="65" t="n">
        <f aca="false">Enterprise!Z204</f>
        <v>149040</v>
      </c>
      <c r="AA14" s="65" t="n">
        <f aca="false">Enterprise!AA204</f>
        <v>115920</v>
      </c>
      <c r="AB14" s="65" t="n">
        <f aca="false">Enterprise!AB204</f>
        <v>138000</v>
      </c>
    </row>
    <row r="15" customFormat="false" ht="15" hidden="false" customHeight="false" outlineLevel="0" collapsed="false">
      <c r="A15" s="28" t="s">
        <v>1380</v>
      </c>
      <c r="B15" s="62" t="s">
        <v>1381</v>
      </c>
      <c r="C15" s="64" t="n">
        <f aca="false">P15</f>
        <v>0</v>
      </c>
      <c r="D15" s="64" t="n">
        <f aca="false">AB15</f>
        <v>0</v>
      </c>
      <c r="E15" s="65" t="n">
        <f aca="false">IF(E$5="A",IF(Assumptions!E$204&gt;=5,Assumptions!$C$139,0),0-E18-E19)</f>
        <v>0</v>
      </c>
      <c r="F15" s="65" t="n">
        <f aca="false">IF(F$5="A",IF(Assumptions!F$204&gt;=5,Assumptions!$C$139,0),E15-F18-F19)</f>
        <v>0</v>
      </c>
      <c r="G15" s="65" t="n">
        <f aca="false">IF(G$5="A",IF(Assumptions!G$204&gt;=5,Assumptions!$C$139,0),F15-G18-G19)</f>
        <v>0</v>
      </c>
      <c r="H15" s="65" t="n">
        <f aca="false">IF(H$5="A",IF(Assumptions!H$204&gt;=5,Assumptions!$C$139,0),G15-H18-H19)</f>
        <v>0</v>
      </c>
      <c r="I15" s="65" t="n">
        <f aca="false">IF(I$5="A",IF(Assumptions!I$204&gt;=5,Assumptions!$C$139,0),H15-I18-I19)</f>
        <v>18071.21</v>
      </c>
      <c r="J15" s="65" t="n">
        <f aca="false">IF(J$5="A",IF(Assumptions!J$204&gt;=5,Assumptions!$C$139,0),I15-J18-J19)</f>
        <v>18071.21</v>
      </c>
      <c r="K15" s="65" t="n">
        <f aca="false">IF(K$5="A",IF(Assumptions!K$204&gt;=5,Assumptions!$C$139,0),J15-K18-K19)</f>
        <v>18071.21</v>
      </c>
      <c r="L15" s="65" t="n">
        <f aca="false">IF(L$5="A",IF(Assumptions!L$204&gt;=5,Assumptions!$C$139,0),K15-L18-L19)</f>
        <v>18071.21</v>
      </c>
      <c r="M15" s="65" t="n">
        <f aca="false">IF(M$5="A",IF(Assumptions!M$204&gt;=5,Assumptions!$C$139,0),L15-M18-M19)</f>
        <v>18071.21</v>
      </c>
      <c r="N15" s="65" t="n">
        <f aca="false">IF(N$5="A",IF(Assumptions!N$204&gt;=5,Assumptions!$C$139,0),M15-N18-N19)</f>
        <v>0</v>
      </c>
      <c r="O15" s="65" t="n">
        <f aca="false">IF(O$5="A",IF(Assumptions!O$204&gt;=5,Assumptions!$C$139,0),N15-O18-O19)</f>
        <v>0</v>
      </c>
      <c r="P15" s="65" t="n">
        <f aca="false">IF(P$5="A",IF(Assumptions!P$204&gt;=5,Assumptions!$C$139,0),O15-P18-P19)</f>
        <v>0</v>
      </c>
      <c r="Q15" s="65" t="n">
        <f aca="false">IF(Q$5="A",IF(Assumptions!Q$204&gt;=5,Assumptions!$C$139,0),P15-Q18-Q19)</f>
        <v>0</v>
      </c>
      <c r="R15" s="65" t="n">
        <f aca="false">IF(R$5="A",IF(Assumptions!R$204&gt;=5,Assumptions!$C$139,0),Q15-R18-R19)</f>
        <v>0</v>
      </c>
      <c r="S15" s="65" t="n">
        <f aca="false">IF(S$5="A",IF(Assumptions!S$204&gt;=5,Assumptions!$C$139,0),R15-S18-S19)</f>
        <v>0</v>
      </c>
      <c r="T15" s="65" t="n">
        <f aca="false">IF(T$5="A",IF(Assumptions!T$204&gt;=5,Assumptions!$C$139,0),S15-T18-T19)</f>
        <v>0</v>
      </c>
      <c r="U15" s="65" t="n">
        <f aca="false">IF(U$5="A",IF(Assumptions!U$204&gt;=5,Assumptions!$C$139,0),T15-U18-U19)</f>
        <v>0</v>
      </c>
      <c r="V15" s="65" t="n">
        <f aca="false">IF(V$5="A",IF(Assumptions!V$204&gt;=5,Assumptions!$C$139,0),U15-V18-V19)</f>
        <v>0</v>
      </c>
      <c r="W15" s="65" t="n">
        <f aca="false">IF(W$5="A",IF(Assumptions!W$204&gt;=5,Assumptions!$C$139,0),V15-W18-W19)</f>
        <v>0</v>
      </c>
      <c r="X15" s="65" t="n">
        <f aca="false">IF(X$5="A",IF(Assumptions!X$204&gt;=5,Assumptions!$C$139,0),W15-X18-X19)</f>
        <v>0</v>
      </c>
      <c r="Y15" s="65" t="n">
        <f aca="false">IF(Y$5="A",IF(Assumptions!Y$204&gt;=5,Assumptions!$C$139,0),X15-Y18-Y19)</f>
        <v>0</v>
      </c>
      <c r="Z15" s="65" t="n">
        <f aca="false">IF(Z$5="A",IF(Assumptions!Z$204&gt;=5,Assumptions!$C$139,0),Y15-Z18-Z19)</f>
        <v>0</v>
      </c>
      <c r="AA15" s="65" t="n">
        <f aca="false">IF(AA$5="A",IF(Assumptions!AA$204&gt;=5,Assumptions!$C$139,0),Z15-AA18-AA19)</f>
        <v>0</v>
      </c>
      <c r="AB15" s="65" t="n">
        <f aca="false">IF(AB$5="A",IF(Assumptions!AB$204&gt;=5,Assumptions!$C$139,0),AA15-AB18-AB19)</f>
        <v>0</v>
      </c>
    </row>
    <row r="16" customFormat="false" ht="15" hidden="false" customHeight="false" outlineLevel="0" collapsed="false">
      <c r="A16" s="28" t="s">
        <v>1382</v>
      </c>
      <c r="B16" s="62" t="s">
        <v>1383</v>
      </c>
      <c r="C16" s="64" t="n">
        <f aca="false">P16</f>
        <v>191600</v>
      </c>
      <c r="D16" s="64" t="n">
        <f aca="false">AB16</f>
        <v>215280</v>
      </c>
      <c r="E16" s="65" t="n">
        <f aca="false">CHOOSE(INT((Assumptions!$C$138+Assumptions!$F$198)/30)+1,E14*(((Assumptions!$C$138+Assumptions!$F$198)-30*INT((Assumptions!$C$138+Assumptions!$F$198)/30))/30),E14+0*(((Assumptions!$C$138+Assumptions!$F$198)-30*INT((Assumptions!$C$138+Assumptions!$F$198)/30))/30),E14+0+0*(((Assumptions!$C$138+Assumptions!$F$198)-30*INT((Assumptions!$C$138+Assumptions!$F$198)/30))/30),E14+0+0+0*(((Assumptions!$C$138+Assumptions!$F$198)-30*INT((Assumptions!$C$138+Assumptions!$F$198)/30))/30))</f>
        <v>72000</v>
      </c>
      <c r="F16" s="65" t="n">
        <f aca="false">CHOOSE(INT((Assumptions!$C$138+Assumptions!$F$198)/30)+1,F14*(((Assumptions!$C$138+Assumptions!$F$198)-30*INT((Assumptions!$C$138+Assumptions!$F$198)/30))/30),F14+E14*(((Assumptions!$C$138+Assumptions!$F$198)-30*INT((Assumptions!$C$138+Assumptions!$F$198)/30))/30),F14+E14+0*(((Assumptions!$C$138+Assumptions!$F$198)-30*INT((Assumptions!$C$138+Assumptions!$F$198)/30))/30),F14+E14+0+0*(((Assumptions!$C$138+Assumptions!$F$198)-30*INT((Assumptions!$C$138+Assumptions!$F$198)/30))/30))</f>
        <v>105000</v>
      </c>
      <c r="G16" s="65" t="n">
        <f aca="false">CHOOSE(INT((Assumptions!$C$138+Assumptions!$F$198)/30)+1,G14*(((Assumptions!$C$138+Assumptions!$F$198)-30*INT((Assumptions!$C$138+Assumptions!$F$198)/30))/30),G14+F14*(((Assumptions!$C$138+Assumptions!$F$198)-30*INT((Assumptions!$C$138+Assumptions!$F$198)/30))/30),G14+F14+E14*(((Assumptions!$C$138+Assumptions!$F$198)-30*INT((Assumptions!$C$138+Assumptions!$F$198)/30))/30),G14+F14+E14+0*(((Assumptions!$C$138+Assumptions!$F$198)-30*INT((Assumptions!$C$138+Assumptions!$F$198)/30))/30))</f>
        <v>143000</v>
      </c>
      <c r="H16" s="65" t="n">
        <f aca="false">CHOOSE(INT((Assumptions!$C$138+Assumptions!$F$198)/30)+1,H14*(((Assumptions!$C$138+Assumptions!$F$198)-30*INT((Assumptions!$C$138+Assumptions!$F$198)/30))/30),H14+G14*(((Assumptions!$C$138+Assumptions!$F$198)-30*INT((Assumptions!$C$138+Assumptions!$F$198)/30))/30),H14+G14+F14*(((Assumptions!$C$138+Assumptions!$F$198)-30*INT((Assumptions!$C$138+Assumptions!$F$198)/30))/30),H14+G14+F14+E14*(((Assumptions!$C$138+Assumptions!$F$198)-30*INT((Assumptions!$C$138+Assumptions!$F$198)/30))/30))</f>
        <v>214000</v>
      </c>
      <c r="I16" s="65" t="n">
        <f aca="false">CHOOSE(INT((Assumptions!$C$138+Assumptions!$F$198)/30)+1,I14*(((Assumptions!$C$138+Assumptions!$F$198)-30*INT((Assumptions!$C$138+Assumptions!$F$198)/30))/30),I14+H14*(((Assumptions!$C$138+Assumptions!$F$198)-30*INT((Assumptions!$C$138+Assumptions!$F$198)/30))/30),I14+H14+G14*(((Assumptions!$C$138+Assumptions!$F$198)-30*INT((Assumptions!$C$138+Assumptions!$F$198)/30))/30),I14+H14+G14+F14*(((Assumptions!$C$138+Assumptions!$F$198)-30*INT((Assumptions!$C$138+Assumptions!$F$198)/30))/30))</f>
        <v>171071.208</v>
      </c>
      <c r="J16" s="65" t="n">
        <f aca="false">CHOOSE(INT((Assumptions!$C$138+Assumptions!$F$198)/30)+1,J14*(((Assumptions!$C$138+Assumptions!$F$198)-30*INT((Assumptions!$C$138+Assumptions!$F$198)/30))/30),J14+I14*(((Assumptions!$C$138+Assumptions!$F$198)-30*INT((Assumptions!$C$138+Assumptions!$F$198)/30))/30),J14+I14+H14*(((Assumptions!$C$138+Assumptions!$F$198)-30*INT((Assumptions!$C$138+Assumptions!$F$198)/30))/30),J14+I14+H14+G14*(((Assumptions!$C$138+Assumptions!$F$198)-30*INT((Assumptions!$C$138+Assumptions!$F$198)/30))/30))</f>
        <v>164047.472</v>
      </c>
      <c r="K16" s="65" t="n">
        <f aca="false">CHOOSE(INT((Assumptions!$C$138+Assumptions!$F$198)/30)+1,K14*(((Assumptions!$C$138+Assumptions!$F$198)-30*INT((Assumptions!$C$138+Assumptions!$F$198)/30))/30),K14+J14*(((Assumptions!$C$138+Assumptions!$F$198)-30*INT((Assumptions!$C$138+Assumptions!$F$198)/30))/30),K14+J14+I14*(((Assumptions!$C$138+Assumptions!$F$198)-30*INT((Assumptions!$C$138+Assumptions!$F$198)/30))/30),K14+J14+I14+H14*(((Assumptions!$C$138+Assumptions!$F$198)-30*INT((Assumptions!$C$138+Assumptions!$F$198)/30))/30))</f>
        <v>226000</v>
      </c>
      <c r="L16" s="65" t="n">
        <f aca="false">CHOOSE(INT((Assumptions!$C$138+Assumptions!$F$198)/30)+1,L14*(((Assumptions!$C$138+Assumptions!$F$198)-30*INT((Assumptions!$C$138+Assumptions!$F$198)/30))/30),L14+K14*(((Assumptions!$C$138+Assumptions!$F$198)-30*INT((Assumptions!$C$138+Assumptions!$F$198)/30))/30),L14+K14+J14*(((Assumptions!$C$138+Assumptions!$F$198)-30*INT((Assumptions!$C$138+Assumptions!$F$198)/30))/30),L14+K14+J14+I14*(((Assumptions!$C$138+Assumptions!$F$198)-30*INT((Assumptions!$C$138+Assumptions!$F$198)/30))/30))</f>
        <v>157000</v>
      </c>
      <c r="M16" s="65" t="n">
        <f aca="false">CHOOSE(INT((Assumptions!$C$138+Assumptions!$F$198)/30)+1,M14*(((Assumptions!$C$138+Assumptions!$F$198)-30*INT((Assumptions!$C$138+Assumptions!$F$198)/30))/30),M14+L14*(((Assumptions!$C$138+Assumptions!$F$198)-30*INT((Assumptions!$C$138+Assumptions!$F$198)/30))/30),M14+L14+K14*(((Assumptions!$C$138+Assumptions!$F$198)-30*INT((Assumptions!$C$138+Assumptions!$F$198)/30))/30),M14+L14+K14+J14*(((Assumptions!$C$138+Assumptions!$F$198)-30*INT((Assumptions!$C$138+Assumptions!$F$198)/30))/30))</f>
        <v>152000</v>
      </c>
      <c r="N16" s="65" t="n">
        <f aca="false">CHOOSE(INT((Assumptions!$C$138+Assumptions!$F$198)/30)+1,N14*(((Assumptions!$C$138+Assumptions!$F$198)-30*INT((Assumptions!$C$138+Assumptions!$F$198)/30))/30),N14+M14*(((Assumptions!$C$138+Assumptions!$F$198)-30*INT((Assumptions!$C$138+Assumptions!$F$198)/30))/30),N14+M14+L14*(((Assumptions!$C$138+Assumptions!$F$198)-30*INT((Assumptions!$C$138+Assumptions!$F$198)/30))/30),N14+M14+L14+K14*(((Assumptions!$C$138+Assumptions!$F$198)-30*INT((Assumptions!$C$138+Assumptions!$F$198)/30))/30))</f>
        <v>226000</v>
      </c>
      <c r="O16" s="65" t="n">
        <f aca="false">CHOOSE(INT((Assumptions!$C$138+Assumptions!$F$198)/30)+1,O14*(((Assumptions!$C$138+Assumptions!$F$198)-30*INT((Assumptions!$C$138+Assumptions!$F$198)/30))/30),O14+N14*(((Assumptions!$C$138+Assumptions!$F$198)-30*INT((Assumptions!$C$138+Assumptions!$F$198)/30))/30),O14+N14+M14*(((Assumptions!$C$138+Assumptions!$F$198)-30*INT((Assumptions!$C$138+Assumptions!$F$198)/30))/30),O14+N14+M14+L14*(((Assumptions!$C$138+Assumptions!$F$198)-30*INT((Assumptions!$C$138+Assumptions!$F$198)/30))/30))</f>
        <v>216400</v>
      </c>
      <c r="P16" s="65" t="n">
        <f aca="false">CHOOSE(INT((Assumptions!$C$138+Assumptions!$F$198)/30)+1,P14*(((Assumptions!$C$138+Assumptions!$F$198)-30*INT((Assumptions!$C$138+Assumptions!$F$198)/30))/30),P14+O14*(((Assumptions!$C$138+Assumptions!$F$198)-30*INT((Assumptions!$C$138+Assumptions!$F$198)/30))/30),P14+O14+N14*(((Assumptions!$C$138+Assumptions!$F$198)-30*INT((Assumptions!$C$138+Assumptions!$F$198)/30))/30),P14+O14+N14+M14*(((Assumptions!$C$138+Assumptions!$F$198)-30*INT((Assumptions!$C$138+Assumptions!$F$198)/30))/30))</f>
        <v>191600</v>
      </c>
      <c r="Q16" s="65" t="n">
        <f aca="false">CHOOSE(INT((Assumptions!$C$138+Assumptions!$F$198)/30)+1,Q14*(((Assumptions!$C$138+Assumptions!$F$198)-30*INT((Assumptions!$C$138+Assumptions!$F$198)/30))/30),Q14+P14*(((Assumptions!$C$138+Assumptions!$F$198)-30*INT((Assumptions!$C$138+Assumptions!$F$198)/30))/30),Q14+P14+O14*(((Assumptions!$C$138+Assumptions!$F$198)-30*INT((Assumptions!$C$138+Assumptions!$F$198)/30))/30),Q14+P14+O14+N14*(((Assumptions!$C$138+Assumptions!$F$198)-30*INT((Assumptions!$C$138+Assumptions!$F$198)/30))/30))</f>
        <v>226000</v>
      </c>
      <c r="R16" s="65" t="n">
        <f aca="false">CHOOSE(INT((Assumptions!$C$138+Assumptions!$F$198)/30)+1,R14*(((Assumptions!$C$138+Assumptions!$F$198)-30*INT((Assumptions!$C$138+Assumptions!$F$198)/30))/30),R14+Q14*(((Assumptions!$C$138+Assumptions!$F$198)-30*INT((Assumptions!$C$138+Assumptions!$F$198)/30))/30),R14+Q14+P14*(((Assumptions!$C$138+Assumptions!$F$198)-30*INT((Assumptions!$C$138+Assumptions!$F$198)/30))/30),R14+Q14+P14+O14*(((Assumptions!$C$138+Assumptions!$F$198)-30*INT((Assumptions!$C$138+Assumptions!$F$198)/30))/30))</f>
        <v>217360</v>
      </c>
      <c r="S16" s="65" t="n">
        <f aca="false">CHOOSE(INT((Assumptions!$C$138+Assumptions!$F$198)/30)+1,S14*(((Assumptions!$C$138+Assumptions!$F$198)-30*INT((Assumptions!$C$138+Assumptions!$F$198)/30))/30),S14+R14*(((Assumptions!$C$138+Assumptions!$F$198)-30*INT((Assumptions!$C$138+Assumptions!$F$198)/30))/30),S14+R14+Q14*(((Assumptions!$C$138+Assumptions!$F$198)-30*INT((Assumptions!$C$138+Assumptions!$F$198)/30))/30),S14+R14+Q14+P14*(((Assumptions!$C$138+Assumptions!$F$198)-30*INT((Assumptions!$C$138+Assumptions!$F$198)/30))/30))</f>
        <v>245667.413234188</v>
      </c>
      <c r="T16" s="65" t="n">
        <f aca="false">CHOOSE(INT((Assumptions!$C$138+Assumptions!$F$198)/30)+1,T14*(((Assumptions!$C$138+Assumptions!$F$198)-30*INT((Assumptions!$C$138+Assumptions!$F$198)/30))/30),T14+S14*(((Assumptions!$C$138+Assumptions!$F$198)-30*INT((Assumptions!$C$138+Assumptions!$F$198)/30))/30),T14+S14+R14*(((Assumptions!$C$138+Assumptions!$F$198)-30*INT((Assumptions!$C$138+Assumptions!$F$198)/30))/30),T14+S14+R14+Q14*(((Assumptions!$C$138+Assumptions!$F$198)-30*INT((Assumptions!$C$138+Assumptions!$F$198)/30))/30))</f>
        <v>318859.459188611</v>
      </c>
      <c r="U16" s="65" t="n">
        <f aca="false">CHOOSE(INT((Assumptions!$C$138+Assumptions!$F$198)/30)+1,U14*(((Assumptions!$C$138+Assumptions!$F$198)-30*INT((Assumptions!$C$138+Assumptions!$F$198)/30))/30),U14+T14*(((Assumptions!$C$138+Assumptions!$F$198)-30*INT((Assumptions!$C$138+Assumptions!$F$198)/30))/30),U14+T14+S14*(((Assumptions!$C$138+Assumptions!$F$198)-30*INT((Assumptions!$C$138+Assumptions!$F$198)/30))/30),U14+T14+S14+R14*(((Assumptions!$C$138+Assumptions!$F$198)-30*INT((Assumptions!$C$138+Assumptions!$F$198)/30))/30))</f>
        <v>314266.558873302</v>
      </c>
      <c r="V16" s="65" t="n">
        <f aca="false">CHOOSE(INT((Assumptions!$C$138+Assumptions!$F$198)/30)+1,V14*(((Assumptions!$C$138+Assumptions!$F$198)-30*INT((Assumptions!$C$138+Assumptions!$F$198)/30))/30),V14+U14*(((Assumptions!$C$138+Assumptions!$F$198)-30*INT((Assumptions!$C$138+Assumptions!$F$198)/30))/30),V14+U14+T14*(((Assumptions!$C$138+Assumptions!$F$198)-30*INT((Assumptions!$C$138+Assumptions!$F$198)/30))/30),V14+U14+T14+S14*(((Assumptions!$C$138+Assumptions!$F$198)-30*INT((Assumptions!$C$138+Assumptions!$F$198)/30))/30))</f>
        <v>255403.846493689</v>
      </c>
      <c r="W16" s="65" t="n">
        <f aca="false">CHOOSE(INT((Assumptions!$C$138+Assumptions!$F$198)/30)+1,W14*(((Assumptions!$C$138+Assumptions!$F$198)-30*INT((Assumptions!$C$138+Assumptions!$F$198)/30))/30),W14+V14*(((Assumptions!$C$138+Assumptions!$F$198)-30*INT((Assumptions!$C$138+Assumptions!$F$198)/30))/30),W14+V14+U14*(((Assumptions!$C$138+Assumptions!$F$198)-30*INT((Assumptions!$C$138+Assumptions!$F$198)/30))/30),W14+V14+U14+T14*(((Assumptions!$C$138+Assumptions!$F$198)-30*INT((Assumptions!$C$138+Assumptions!$F$198)/30))/30))</f>
        <v>241040</v>
      </c>
      <c r="X16" s="65" t="n">
        <f aca="false">CHOOSE(INT((Assumptions!$C$138+Assumptions!$F$198)/30)+1,X14*(((Assumptions!$C$138+Assumptions!$F$198)-30*INT((Assumptions!$C$138+Assumptions!$F$198)/30))/30),X14+W14*(((Assumptions!$C$138+Assumptions!$F$198)-30*INT((Assumptions!$C$138+Assumptions!$F$198)/30))/30),X14+W14+V14*(((Assumptions!$C$138+Assumptions!$F$198)-30*INT((Assumptions!$C$138+Assumptions!$F$198)/30))/30),X14+W14+V14+U14*(((Assumptions!$C$138+Assumptions!$F$198)-30*INT((Assumptions!$C$138+Assumptions!$F$198)/30))/30))</f>
        <v>216720</v>
      </c>
      <c r="Y16" s="65" t="n">
        <f aca="false">CHOOSE(INT((Assumptions!$C$138+Assumptions!$F$198)/30)+1,Y14*(((Assumptions!$C$138+Assumptions!$F$198)-30*INT((Assumptions!$C$138+Assumptions!$F$198)/30))/30),Y14+X14*(((Assumptions!$C$138+Assumptions!$F$198)-30*INT((Assumptions!$C$138+Assumptions!$F$198)/30))/30),Y14+X14+W14*(((Assumptions!$C$138+Assumptions!$F$198)-30*INT((Assumptions!$C$138+Assumptions!$F$198)/30))/30),Y14+X14+W14+V14*(((Assumptions!$C$138+Assumptions!$F$198)-30*INT((Assumptions!$C$138+Assumptions!$F$198)/30))/30))</f>
        <v>216240</v>
      </c>
      <c r="Z16" s="65" t="n">
        <f aca="false">CHOOSE(INT((Assumptions!$C$138+Assumptions!$F$198)/30)+1,Z14*(((Assumptions!$C$138+Assumptions!$F$198)-30*INT((Assumptions!$C$138+Assumptions!$F$198)/30))/30),Z14+Y14*(((Assumptions!$C$138+Assumptions!$F$198)-30*INT((Assumptions!$C$138+Assumptions!$F$198)/30))/30),Z14+Y14+X14*(((Assumptions!$C$138+Assumptions!$F$198)-30*INT((Assumptions!$C$138+Assumptions!$F$198)/30))/30),Z14+Y14+X14+W14*(((Assumptions!$C$138+Assumptions!$F$198)-30*INT((Assumptions!$C$138+Assumptions!$F$198)/30))/30))</f>
        <v>241040</v>
      </c>
      <c r="AA16" s="65" t="n">
        <f aca="false">CHOOSE(INT((Assumptions!$C$138+Assumptions!$F$198)/30)+1,AA14*(((Assumptions!$C$138+Assumptions!$F$198)-30*INT((Assumptions!$C$138+Assumptions!$F$198)/30))/30),AA14+Z14*(((Assumptions!$C$138+Assumptions!$F$198)-30*INT((Assumptions!$C$138+Assumptions!$F$198)/30))/30),AA14+Z14+Y14*(((Assumptions!$C$138+Assumptions!$F$198)-30*INT((Assumptions!$C$138+Assumptions!$F$198)/30))/30),AA14+Z14+Y14+X14*(((Assumptions!$C$138+Assumptions!$F$198)-30*INT((Assumptions!$C$138+Assumptions!$F$198)/30))/30))</f>
        <v>215280</v>
      </c>
      <c r="AB16" s="65" t="n">
        <f aca="false">CHOOSE(INT((Assumptions!$C$138+Assumptions!$F$198)/30)+1,AB14*(((Assumptions!$C$138+Assumptions!$F$198)-30*INT((Assumptions!$C$138+Assumptions!$F$198)/30))/30),AB14+AA14*(((Assumptions!$C$138+Assumptions!$F$198)-30*INT((Assumptions!$C$138+Assumptions!$F$198)/30))/30),AB14+AA14+Z14*(((Assumptions!$C$138+Assumptions!$F$198)-30*INT((Assumptions!$C$138+Assumptions!$F$198)/30))/30),AB14+AA14+Z14+Y14*(((Assumptions!$C$138+Assumptions!$F$198)-30*INT((Assumptions!$C$138+Assumptions!$F$198)/30))/30))</f>
        <v>215280</v>
      </c>
    </row>
    <row r="17" customFormat="false" ht="15" hidden="false" customHeight="false" outlineLevel="0" collapsed="false">
      <c r="A17" s="28" t="s">
        <v>1384</v>
      </c>
      <c r="B17" s="62" t="s">
        <v>1385</v>
      </c>
      <c r="C17" s="64" t="n">
        <f aca="false">SUM(E17:P17)</f>
        <v>1199799.998</v>
      </c>
      <c r="D17" s="64" t="n">
        <f aca="false">SUM(Q17:AB17)</f>
        <v>1739814.36667387</v>
      </c>
      <c r="E17" s="65" t="n">
        <f aca="false">IF(E$5="A",Inputs_Actuals!E157,Inputs_Actuals!$C$176-0+E14-E16)</f>
        <v>71000</v>
      </c>
      <c r="F17" s="65" t="n">
        <f aca="false">IF(F$5="A",Inputs_Actuals!F157,E21-E15+F14-F16)</f>
        <v>94000</v>
      </c>
      <c r="G17" s="65" t="n">
        <f aca="false">IF(G$5="A",Inputs_Actuals!G157,F21-F15+G14-G16)</f>
        <v>67000</v>
      </c>
      <c r="H17" s="65" t="n">
        <f aca="false">IF(H$5="A",Inputs_Actuals!H157,G21-G15+H14-H16)</f>
        <v>73000</v>
      </c>
      <c r="I17" s="65" t="n">
        <f aca="false">IF(I$5="A",Inputs_Actuals!I157,H21-H15+I14-I16)</f>
        <v>118000</v>
      </c>
      <c r="J17" s="65" t="n">
        <f aca="false">IF(J$5="A",Inputs_Actuals!J157,I21-I15+J14-J16)</f>
        <v>115000</v>
      </c>
      <c r="K17" s="65" t="n">
        <f aca="false">IF(K$5="A",Inputs_Actuals!K157,J21-J15+K14-K16)</f>
        <v>76000</v>
      </c>
      <c r="L17" s="65" t="n">
        <f aca="false">IF(L$5="A",Inputs_Actuals!L157,K21-K15+L14-L16)</f>
        <v>126000</v>
      </c>
      <c r="M17" s="65" t="n">
        <f aca="false">IF(M$5="A",Inputs_Actuals!M157,L21-L15+M14-M16)</f>
        <v>118999.998</v>
      </c>
      <c r="N17" s="65" t="n">
        <f aca="false">IF(N$5="A",Inputs_Actuals!N157,M21-M15+N14-N16)</f>
        <v>76000</v>
      </c>
      <c r="O17" s="65" t="n">
        <f aca="false">IF(O$5="A",Inputs_Actuals!O157,N21-N15+O14-O16)</f>
        <v>126000</v>
      </c>
      <c r="P17" s="65" t="n">
        <f aca="false">IF(P$5="A",Inputs_Actuals!P157,O21-O15+P14-P16)</f>
        <v>138800</v>
      </c>
      <c r="Q17" s="65" t="n">
        <f aca="false">IF(Q$5="A",Inputs_Actuals!Q157,P21-P15+Q14-Q16)</f>
        <v>115600</v>
      </c>
      <c r="R17" s="65" t="n">
        <f aca="false">IF(R$5="A",Inputs_Actuals!R157,Q21-Q15+R14-R16)</f>
        <v>126000</v>
      </c>
      <c r="S17" s="65" t="n">
        <f aca="false">IF(S$5="A",Inputs_Actuals!S157,R21-R15+S14-S16)</f>
        <v>139120</v>
      </c>
      <c r="T17" s="65" t="n">
        <f aca="false">IF(T$5="A",Inputs_Actuals!T157,S21-S15+T14-T16)</f>
        <v>134049.137744729</v>
      </c>
      <c r="U17" s="65" t="n">
        <f aca="false">IF(U$5="A",Inputs_Actuals!U157,T21-T15+U14-U16)</f>
        <v>180698.670055843</v>
      </c>
      <c r="V17" s="65" t="n">
        <f aca="false">IF(V$5="A",Inputs_Actuals!V157,U21-U15+V14-V16)</f>
        <v>196862.712379613</v>
      </c>
      <c r="W17" s="65" t="n">
        <f aca="false">IF(W$5="A",Inputs_Actuals!W157,V21-V15+W14-W16)</f>
        <v>163403.846493689</v>
      </c>
      <c r="X17" s="65" t="n">
        <f aca="false">IF(X$5="A",Inputs_Actuals!X157,W21-W15+X14-X16)</f>
        <v>141680</v>
      </c>
      <c r="Y17" s="65" t="n">
        <f aca="false">IF(Y$5="A",Inputs_Actuals!Y157,X21-X15+Y14-Y16)</f>
        <v>138480</v>
      </c>
      <c r="Z17" s="65" t="n">
        <f aca="false">IF(Z$5="A",Inputs_Actuals!Z157,Y21-Y15+Z14-Z16)</f>
        <v>124240</v>
      </c>
      <c r="AA17" s="65" t="n">
        <f aca="false">IF(AA$5="A",Inputs_Actuals!AA157,Z21-Z15+AA14-AA16)</f>
        <v>141680</v>
      </c>
      <c r="AB17" s="65" t="n">
        <f aca="false">IF(AB$5="A",Inputs_Actuals!AB157,AA21-AA15+AB14-AB16)</f>
        <v>138000</v>
      </c>
    </row>
    <row r="18" customFormat="false" ht="15" hidden="false" customHeight="false" outlineLevel="0" collapsed="false">
      <c r="A18" s="28" t="s">
        <v>1386</v>
      </c>
      <c r="B18" s="62" t="s">
        <v>1387</v>
      </c>
      <c r="C18" s="64" t="n">
        <f aca="false">SUM(E18:P18)</f>
        <v>12649.847</v>
      </c>
      <c r="D18" s="64" t="n">
        <f aca="false">SUM(Q18:AB18)</f>
        <v>0</v>
      </c>
      <c r="E18" s="65" t="n">
        <f aca="false">IF(E$5="A",0,IF(Assumptions!E$203=Assumptions!$F$200,Assumptions!$C$139*(1-Assumptions!$F$199),0))</f>
        <v>0</v>
      </c>
      <c r="F18" s="65" t="n">
        <f aca="false">IF(F$5="A",0,IF(Assumptions!F$203=Assumptions!$F$200,Assumptions!$C$139*(1-Assumptions!$F$199),0))</f>
        <v>0</v>
      </c>
      <c r="G18" s="65" t="n">
        <f aca="false">IF(G$5="A",0,IF(Assumptions!G$203=Assumptions!$F$200,Assumptions!$C$139*(1-Assumptions!$F$199),0))</f>
        <v>0</v>
      </c>
      <c r="H18" s="65" t="n">
        <f aca="false">IF(H$5="A",0,IF(Assumptions!H$203=Assumptions!$F$200,Assumptions!$C$139*(1-Assumptions!$F$199),0))</f>
        <v>0</v>
      </c>
      <c r="I18" s="65" t="n">
        <f aca="false">IF(I$5="A",0,IF(Assumptions!I$203=Assumptions!$F$200,Assumptions!$C$139*(1-Assumptions!$F$199),0))</f>
        <v>0</v>
      </c>
      <c r="J18" s="65" t="n">
        <f aca="false">IF(J$5="A",0,IF(Assumptions!J$203=Assumptions!$F$200,Assumptions!$C$139*(1-Assumptions!$F$199),0))</f>
        <v>0</v>
      </c>
      <c r="K18" s="65" t="n">
        <f aca="false">IF(K$5="A",0,IF(Assumptions!K$203=Assumptions!$F$200,Assumptions!$C$139*(1-Assumptions!$F$199),0))</f>
        <v>0</v>
      </c>
      <c r="L18" s="65" t="n">
        <f aca="false">IF(L$5="A",0,IF(Assumptions!L$203=Assumptions!$F$200,Assumptions!$C$139*(1-Assumptions!$F$199),0))</f>
        <v>0</v>
      </c>
      <c r="M18" s="65" t="n">
        <f aca="false">IF(M$5="A",0,IF(Assumptions!M$203=Assumptions!$F$200,Assumptions!$C$139*(1-Assumptions!$F$199),0))</f>
        <v>0</v>
      </c>
      <c r="N18" s="65" t="n">
        <f aca="false">IF(N$5="A",0,IF(Assumptions!N$203=Assumptions!$F$200,Assumptions!$C$139*(1-Assumptions!$F$199),0))</f>
        <v>12649.847</v>
      </c>
      <c r="O18" s="65" t="n">
        <f aca="false">IF(O$5="A",0,IF(Assumptions!O$203=Assumptions!$F$200,Assumptions!$C$139*(1-Assumptions!$F$199),0))</f>
        <v>0</v>
      </c>
      <c r="P18" s="65" t="n">
        <f aca="false">IF(P$5="A",0,IF(Assumptions!P$203=Assumptions!$F$200,Assumptions!$C$139*(1-Assumptions!$F$199),0))</f>
        <v>0</v>
      </c>
      <c r="Q18" s="65" t="n">
        <f aca="false">IF(Q$5="A",0,IF(Assumptions!Q$203=Assumptions!$F$200,Assumptions!$C$139*(1-Assumptions!$F$199),0))</f>
        <v>0</v>
      </c>
      <c r="R18" s="65" t="n">
        <f aca="false">IF(R$5="A",0,IF(Assumptions!R$203=Assumptions!$F$200,Assumptions!$C$139*(1-Assumptions!$F$199),0))</f>
        <v>0</v>
      </c>
      <c r="S18" s="65" t="n">
        <f aca="false">IF(S$5="A",0,IF(Assumptions!S$203=Assumptions!$F$200,Assumptions!$C$139*(1-Assumptions!$F$199),0))</f>
        <v>0</v>
      </c>
      <c r="T18" s="65" t="n">
        <f aca="false">IF(T$5="A",0,IF(Assumptions!T$203=Assumptions!$F$200,Assumptions!$C$139*(1-Assumptions!$F$199),0))</f>
        <v>0</v>
      </c>
      <c r="U18" s="65" t="n">
        <f aca="false">IF(U$5="A",0,IF(Assumptions!U$203=Assumptions!$F$200,Assumptions!$C$139*(1-Assumptions!$F$199),0))</f>
        <v>0</v>
      </c>
      <c r="V18" s="65" t="n">
        <f aca="false">IF(V$5="A",0,IF(Assumptions!V$203=Assumptions!$F$200,Assumptions!$C$139*(1-Assumptions!$F$199),0))</f>
        <v>0</v>
      </c>
      <c r="W18" s="65" t="n">
        <f aca="false">IF(W$5="A",0,IF(Assumptions!W$203=Assumptions!$F$200,Assumptions!$C$139*(1-Assumptions!$F$199),0))</f>
        <v>0</v>
      </c>
      <c r="X18" s="65" t="n">
        <f aca="false">IF(X$5="A",0,IF(Assumptions!X$203=Assumptions!$F$200,Assumptions!$C$139*(1-Assumptions!$F$199),0))</f>
        <v>0</v>
      </c>
      <c r="Y18" s="65" t="n">
        <f aca="false">IF(Y$5="A",0,IF(Assumptions!Y$203=Assumptions!$F$200,Assumptions!$C$139*(1-Assumptions!$F$199),0))</f>
        <v>0</v>
      </c>
      <c r="Z18" s="65" t="n">
        <f aca="false">IF(Z$5="A",0,IF(Assumptions!Z$203=Assumptions!$F$200,Assumptions!$C$139*(1-Assumptions!$F$199),0))</f>
        <v>0</v>
      </c>
      <c r="AA18" s="65" t="n">
        <f aca="false">IF(AA$5="A",0,IF(Assumptions!AA$203=Assumptions!$F$200,Assumptions!$C$139*(1-Assumptions!$F$199),0))</f>
        <v>0</v>
      </c>
      <c r="AB18" s="65" t="n">
        <f aca="false">IF(AB$5="A",0,IF(Assumptions!AB$203=Assumptions!$F$200,Assumptions!$C$139*(1-Assumptions!$F$199),0))</f>
        <v>0</v>
      </c>
    </row>
    <row r="19" customFormat="false" ht="15" hidden="false" customHeight="false" outlineLevel="0" collapsed="false">
      <c r="A19" s="28" t="s">
        <v>1388</v>
      </c>
      <c r="B19" s="62"/>
      <c r="C19" s="64" t="n">
        <f aca="false">SUM(E19:P19)</f>
        <v>5421.363</v>
      </c>
      <c r="D19" s="64" t="n">
        <f aca="false">SUM(Q19:AB19)</f>
        <v>0</v>
      </c>
      <c r="E19" s="65" t="n">
        <f aca="false">IF(E$5="A",0,IF(Assumptions!E$203=Assumptions!$F$200,Assumptions!$C$139*Assumptions!$F$199,0))</f>
        <v>0</v>
      </c>
      <c r="F19" s="65" t="n">
        <f aca="false">IF(F$5="A",0,IF(Assumptions!F$203=Assumptions!$F$200,Assumptions!$C$139*Assumptions!$F$199,0))</f>
        <v>0</v>
      </c>
      <c r="G19" s="65" t="n">
        <f aca="false">IF(G$5="A",0,IF(Assumptions!G$203=Assumptions!$F$200,Assumptions!$C$139*Assumptions!$F$199,0))</f>
        <v>0</v>
      </c>
      <c r="H19" s="65" t="n">
        <f aca="false">IF(H$5="A",0,IF(Assumptions!H$203=Assumptions!$F$200,Assumptions!$C$139*Assumptions!$F$199,0))</f>
        <v>0</v>
      </c>
      <c r="I19" s="65" t="n">
        <f aca="false">IF(I$5="A",0,IF(Assumptions!I$203=Assumptions!$F$200,Assumptions!$C$139*Assumptions!$F$199,0))</f>
        <v>0</v>
      </c>
      <c r="J19" s="65" t="n">
        <f aca="false">IF(J$5="A",0,IF(Assumptions!J$203=Assumptions!$F$200,Assumptions!$C$139*Assumptions!$F$199,0))</f>
        <v>0</v>
      </c>
      <c r="K19" s="65" t="n">
        <f aca="false">IF(K$5="A",0,IF(Assumptions!K$203=Assumptions!$F$200,Assumptions!$C$139*Assumptions!$F$199,0))</f>
        <v>0</v>
      </c>
      <c r="L19" s="65" t="n">
        <f aca="false">IF(L$5="A",0,IF(Assumptions!L$203=Assumptions!$F$200,Assumptions!$C$139*Assumptions!$F$199,0))</f>
        <v>0</v>
      </c>
      <c r="M19" s="65" t="n">
        <f aca="false">IF(M$5="A",0,IF(Assumptions!M$203=Assumptions!$F$200,Assumptions!$C$139*Assumptions!$F$199,0))</f>
        <v>0</v>
      </c>
      <c r="N19" s="65" t="n">
        <f aca="false">IF(N$5="A",0,IF(Assumptions!N$203=Assumptions!$F$200,Assumptions!$C$139*Assumptions!$F$199,0))</f>
        <v>5421.363</v>
      </c>
      <c r="O19" s="65" t="n">
        <f aca="false">IF(O$5="A",0,IF(Assumptions!O$203=Assumptions!$F$200,Assumptions!$C$139*Assumptions!$F$199,0))</f>
        <v>0</v>
      </c>
      <c r="P19" s="65" t="n">
        <f aca="false">IF(P$5="A",0,IF(Assumptions!P$203=Assumptions!$F$200,Assumptions!$C$139*Assumptions!$F$199,0))</f>
        <v>0</v>
      </c>
      <c r="Q19" s="65" t="n">
        <f aca="false">IF(Q$5="A",0,IF(Assumptions!Q$203=Assumptions!$F$200,Assumptions!$C$139*Assumptions!$F$199,0))</f>
        <v>0</v>
      </c>
      <c r="R19" s="65" t="n">
        <f aca="false">IF(R$5="A",0,IF(Assumptions!R$203=Assumptions!$F$200,Assumptions!$C$139*Assumptions!$F$199,0))</f>
        <v>0</v>
      </c>
      <c r="S19" s="65" t="n">
        <f aca="false">IF(S$5="A",0,IF(Assumptions!S$203=Assumptions!$F$200,Assumptions!$C$139*Assumptions!$F$199,0))</f>
        <v>0</v>
      </c>
      <c r="T19" s="65" t="n">
        <f aca="false">IF(T$5="A",0,IF(Assumptions!T$203=Assumptions!$F$200,Assumptions!$C$139*Assumptions!$F$199,0))</f>
        <v>0</v>
      </c>
      <c r="U19" s="65" t="n">
        <f aca="false">IF(U$5="A",0,IF(Assumptions!U$203=Assumptions!$F$200,Assumptions!$C$139*Assumptions!$F$199,0))</f>
        <v>0</v>
      </c>
      <c r="V19" s="65" t="n">
        <f aca="false">IF(V$5="A",0,IF(Assumptions!V$203=Assumptions!$F$200,Assumptions!$C$139*Assumptions!$F$199,0))</f>
        <v>0</v>
      </c>
      <c r="W19" s="65" t="n">
        <f aca="false">IF(W$5="A",0,IF(Assumptions!W$203=Assumptions!$F$200,Assumptions!$C$139*Assumptions!$F$199,0))</f>
        <v>0</v>
      </c>
      <c r="X19" s="65" t="n">
        <f aca="false">IF(X$5="A",0,IF(Assumptions!X$203=Assumptions!$F$200,Assumptions!$C$139*Assumptions!$F$199,0))</f>
        <v>0</v>
      </c>
      <c r="Y19" s="65" t="n">
        <f aca="false">IF(Y$5="A",0,IF(Assumptions!Y$203=Assumptions!$F$200,Assumptions!$C$139*Assumptions!$F$199,0))</f>
        <v>0</v>
      </c>
      <c r="Z19" s="65" t="n">
        <f aca="false">IF(Z$5="A",0,IF(Assumptions!Z$203=Assumptions!$F$200,Assumptions!$C$139*Assumptions!$F$199,0))</f>
        <v>0</v>
      </c>
      <c r="AA19" s="65" t="n">
        <f aca="false">IF(AA$5="A",0,IF(Assumptions!AA$203=Assumptions!$F$200,Assumptions!$C$139*Assumptions!$F$199,0))</f>
        <v>0</v>
      </c>
      <c r="AB19" s="65" t="n">
        <f aca="false">IF(AB$5="A",0,IF(Assumptions!AB$203=Assumptions!$F$200,Assumptions!$C$139*Assumptions!$F$199,0))</f>
        <v>0</v>
      </c>
    </row>
    <row r="20" customFormat="false" ht="15" hidden="false" customHeight="false" outlineLevel="0" collapsed="false">
      <c r="A20" s="28" t="s">
        <v>1389</v>
      </c>
      <c r="B20" s="62"/>
      <c r="C20" s="64" t="n">
        <f aca="false">SUM(E20:P20)</f>
        <v>1212449.845</v>
      </c>
      <c r="D20" s="64" t="n">
        <f aca="false">SUM(Q20:AB20)</f>
        <v>1739814.36667387</v>
      </c>
      <c r="E20" s="73" t="n">
        <f aca="false">E17+E18</f>
        <v>71000</v>
      </c>
      <c r="F20" s="73" t="n">
        <f aca="false">F17+F18</f>
        <v>94000</v>
      </c>
      <c r="G20" s="73" t="n">
        <f aca="false">G17+G18</f>
        <v>67000</v>
      </c>
      <c r="H20" s="73" t="n">
        <f aca="false">H17+H18</f>
        <v>73000</v>
      </c>
      <c r="I20" s="73" t="n">
        <f aca="false">I17+I18</f>
        <v>118000</v>
      </c>
      <c r="J20" s="73" t="n">
        <f aca="false">J17+J18</f>
        <v>115000</v>
      </c>
      <c r="K20" s="73" t="n">
        <f aca="false">K17+K18</f>
        <v>76000</v>
      </c>
      <c r="L20" s="73" t="n">
        <f aca="false">L17+L18</f>
        <v>126000</v>
      </c>
      <c r="M20" s="73" t="n">
        <f aca="false">M17+M18</f>
        <v>118999.998</v>
      </c>
      <c r="N20" s="73" t="n">
        <f aca="false">N17+N18</f>
        <v>88649.847</v>
      </c>
      <c r="O20" s="73" t="n">
        <f aca="false">O17+O18</f>
        <v>126000</v>
      </c>
      <c r="P20" s="73" t="n">
        <f aca="false">P17+P18</f>
        <v>138800</v>
      </c>
      <c r="Q20" s="73" t="n">
        <f aca="false">Q17+Q18</f>
        <v>115600</v>
      </c>
      <c r="R20" s="73" t="n">
        <f aca="false">R17+R18</f>
        <v>126000</v>
      </c>
      <c r="S20" s="73" t="n">
        <f aca="false">S17+S18</f>
        <v>139120</v>
      </c>
      <c r="T20" s="73" t="n">
        <f aca="false">T17+T18</f>
        <v>134049.137744729</v>
      </c>
      <c r="U20" s="73" t="n">
        <f aca="false">U17+U18</f>
        <v>180698.670055843</v>
      </c>
      <c r="V20" s="73" t="n">
        <f aca="false">V17+V18</f>
        <v>196862.712379613</v>
      </c>
      <c r="W20" s="73" t="n">
        <f aca="false">W17+W18</f>
        <v>163403.846493689</v>
      </c>
      <c r="X20" s="73" t="n">
        <f aca="false">X17+X18</f>
        <v>141680</v>
      </c>
      <c r="Y20" s="73" t="n">
        <f aca="false">Y17+Y18</f>
        <v>138480</v>
      </c>
      <c r="Z20" s="73" t="n">
        <f aca="false">Z17+Z18</f>
        <v>124240</v>
      </c>
      <c r="AA20" s="73" t="n">
        <f aca="false">AA17+AA18</f>
        <v>141680</v>
      </c>
      <c r="AB20" s="73" t="n">
        <f aca="false">AB17+AB18</f>
        <v>138000</v>
      </c>
    </row>
    <row r="21" customFormat="false" ht="15" hidden="false" customHeight="false" outlineLevel="0" collapsed="false">
      <c r="A21" s="58" t="s">
        <v>1390</v>
      </c>
      <c r="B21" s="59"/>
      <c r="C21" s="60" t="n">
        <f aca="false">P21</f>
        <v>191600</v>
      </c>
      <c r="D21" s="60" t="n">
        <f aca="false">AB21</f>
        <v>215280</v>
      </c>
      <c r="E21" s="61" t="n">
        <f aca="false">Inputs_Actuals!$C$176+E14-E20-E19</f>
        <v>142000</v>
      </c>
      <c r="F21" s="60" t="n">
        <f aca="false">E21+F14-F20-F19</f>
        <v>105000</v>
      </c>
      <c r="G21" s="60" t="n">
        <f aca="false">F21+G14-G20-G19</f>
        <v>143000</v>
      </c>
      <c r="H21" s="60" t="n">
        <f aca="false">G21+H14-H20-H19</f>
        <v>214000</v>
      </c>
      <c r="I21" s="60" t="n">
        <f aca="false">H21+I14-I20-I19</f>
        <v>171071.208</v>
      </c>
      <c r="J21" s="60" t="n">
        <f aca="false">I21+J14-J20-J19</f>
        <v>170071.208</v>
      </c>
      <c r="K21" s="60" t="n">
        <f aca="false">J21+K14-K20-K19</f>
        <v>244071.208</v>
      </c>
      <c r="L21" s="60" t="n">
        <f aca="false">K21+L14-L20-L19</f>
        <v>175071.208</v>
      </c>
      <c r="M21" s="60" t="n">
        <f aca="false">L21+M14-M20-M19</f>
        <v>170071.21</v>
      </c>
      <c r="N21" s="60" t="n">
        <f aca="false">M21+N14-N20-N19</f>
        <v>226000</v>
      </c>
      <c r="O21" s="60" t="n">
        <f aca="false">N21+O14-O20-O19</f>
        <v>216400</v>
      </c>
      <c r="P21" s="60" t="n">
        <f aca="false">O21+P14-P20-P19</f>
        <v>191600</v>
      </c>
      <c r="Q21" s="60" t="n">
        <f aca="false">P21+Q14-Q20-Q19</f>
        <v>226000</v>
      </c>
      <c r="R21" s="60" t="n">
        <f aca="false">Q21+R14-R20-R19</f>
        <v>217360</v>
      </c>
      <c r="S21" s="60" t="n">
        <f aca="false">R21+S14-S20-S19</f>
        <v>245667.413234188</v>
      </c>
      <c r="T21" s="60" t="n">
        <f aca="false">S21+T14-T20-T19</f>
        <v>318859.459188611</v>
      </c>
      <c r="U21" s="60" t="n">
        <f aca="false">T21+U14-U20-U19</f>
        <v>314266.558873302</v>
      </c>
      <c r="V21" s="60" t="n">
        <f aca="false">U21+V14-V20-V19</f>
        <v>255403.846493689</v>
      </c>
      <c r="W21" s="60" t="n">
        <f aca="false">V21+W14-W20-W19</f>
        <v>241040</v>
      </c>
      <c r="X21" s="60" t="n">
        <f aca="false">W21+X14-X20-X19</f>
        <v>216720</v>
      </c>
      <c r="Y21" s="60" t="n">
        <f aca="false">X21+Y14-Y20-Y19</f>
        <v>216240</v>
      </c>
      <c r="Z21" s="60" t="n">
        <f aca="false">Y21+Z14-Z20-Z19</f>
        <v>241040</v>
      </c>
      <c r="AA21" s="60" t="n">
        <f aca="false">Z21+AA14-AA20-AA19</f>
        <v>215280</v>
      </c>
      <c r="AB21" s="60" t="n">
        <f aca="false">AA21+AB14-AB20-AB19</f>
        <v>215280</v>
      </c>
    </row>
    <row r="22" customFormat="false" ht="15" hidden="false" customHeight="false" outlineLevel="0" collapsed="false">
      <c r="A22" s="28" t="s">
        <v>1391</v>
      </c>
      <c r="B22" s="62" t="s">
        <v>1392</v>
      </c>
      <c r="C22" s="64" t="n">
        <f aca="false">P22</f>
        <v>31933.3333333333</v>
      </c>
      <c r="D22" s="64" t="n">
        <f aca="false">AB22</f>
        <v>35880</v>
      </c>
      <c r="E22" s="65" t="n">
        <f aca="false">E21*Assumptions!$C$18/(1+Assumptions!$C$18)</f>
        <v>23666.6666666667</v>
      </c>
      <c r="F22" s="65" t="n">
        <f aca="false">F21*Assumptions!$C$18/(1+Assumptions!$C$18)</f>
        <v>17500</v>
      </c>
      <c r="G22" s="65" t="n">
        <f aca="false">G21*Assumptions!$C$18/(1+Assumptions!$C$18)</f>
        <v>23833.3333333333</v>
      </c>
      <c r="H22" s="65" t="n">
        <f aca="false">H21*Assumptions!$C$18/(1+Assumptions!$C$18)</f>
        <v>35666.6666666667</v>
      </c>
      <c r="I22" s="65" t="n">
        <f aca="false">I21*Assumptions!$C$18/(1+Assumptions!$C$18)</f>
        <v>28511.868</v>
      </c>
      <c r="J22" s="65" t="n">
        <f aca="false">J21*Assumptions!$C$18/(1+Assumptions!$C$18)</f>
        <v>28345.2013333333</v>
      </c>
      <c r="K22" s="65" t="n">
        <f aca="false">K21*Assumptions!$C$18/(1+Assumptions!$C$18)</f>
        <v>40678.5346666667</v>
      </c>
      <c r="L22" s="65" t="n">
        <f aca="false">L21*Assumptions!$C$18/(1+Assumptions!$C$18)</f>
        <v>29178.5346666667</v>
      </c>
      <c r="M22" s="65" t="n">
        <f aca="false">M21*Assumptions!$C$18/(1+Assumptions!$C$18)</f>
        <v>28345.2016666667</v>
      </c>
      <c r="N22" s="65" t="n">
        <f aca="false">N21*Assumptions!$C$18/(1+Assumptions!$C$18)</f>
        <v>37666.6666666667</v>
      </c>
      <c r="O22" s="65" t="n">
        <f aca="false">O21*Assumptions!$C$18/(1+Assumptions!$C$18)</f>
        <v>36066.6666666667</v>
      </c>
      <c r="P22" s="65" t="n">
        <f aca="false">P21*Assumptions!$C$18/(1+Assumptions!$C$18)</f>
        <v>31933.3333333333</v>
      </c>
      <c r="Q22" s="65" t="n">
        <f aca="false">Q21*Assumptions!$C$18/(1+Assumptions!$C$18)</f>
        <v>37666.6666666667</v>
      </c>
      <c r="R22" s="65" t="n">
        <f aca="false">R21*Assumptions!$C$18/(1+Assumptions!$C$18)</f>
        <v>36226.6666666667</v>
      </c>
      <c r="S22" s="65" t="n">
        <f aca="false">S21*Assumptions!$C$18/(1+Assumptions!$C$18)</f>
        <v>40944.5688723647</v>
      </c>
      <c r="T22" s="65" t="n">
        <f aca="false">T21*Assumptions!$C$18/(1+Assumptions!$C$18)</f>
        <v>53143.2431981018</v>
      </c>
      <c r="U22" s="65" t="n">
        <f aca="false">U21*Assumptions!$C$18/(1+Assumptions!$C$18)</f>
        <v>52377.7598122169</v>
      </c>
      <c r="V22" s="65" t="n">
        <f aca="false">V21*Assumptions!$C$18/(1+Assumptions!$C$18)</f>
        <v>42567.3077489482</v>
      </c>
      <c r="W22" s="65" t="n">
        <f aca="false">W21*Assumptions!$C$18/(1+Assumptions!$C$18)</f>
        <v>40173.3333333333</v>
      </c>
      <c r="X22" s="65" t="n">
        <f aca="false">X21*Assumptions!$C$18/(1+Assumptions!$C$18)</f>
        <v>36120</v>
      </c>
      <c r="Y22" s="65" t="n">
        <f aca="false">Y21*Assumptions!$C$18/(1+Assumptions!$C$18)</f>
        <v>36040</v>
      </c>
      <c r="Z22" s="65" t="n">
        <f aca="false">Z21*Assumptions!$C$18/(1+Assumptions!$C$18)</f>
        <v>40173.3333333333</v>
      </c>
      <c r="AA22" s="65" t="n">
        <f aca="false">AA21*Assumptions!$C$18/(1+Assumptions!$C$18)</f>
        <v>35880</v>
      </c>
      <c r="AB22" s="65" t="n">
        <f aca="false">AB21*Assumptions!$C$18/(1+Assumptions!$C$18)</f>
        <v>35880</v>
      </c>
    </row>
    <row r="23" customFormat="false" ht="15" hidden="false" customHeight="false" outlineLevel="0" collapsed="false">
      <c r="A23" s="22" t="s">
        <v>1393</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1394</v>
      </c>
      <c r="B24" s="62" t="s">
        <v>51</v>
      </c>
      <c r="C24" s="64" t="n">
        <f aca="false">SUM(E24:P24)</f>
        <v>2019779.13034169</v>
      </c>
      <c r="D24" s="64" t="n">
        <f aca="false">SUM(Q24:AB24)</f>
        <v>2769635.2879304</v>
      </c>
      <c r="E24" s="65" t="n">
        <f aca="false">Enterprise!E205</f>
        <v>200087.31</v>
      </c>
      <c r="F24" s="65" t="n">
        <f aca="false">Enterprise!F205</f>
        <v>165716.42</v>
      </c>
      <c r="G24" s="65" t="n">
        <f aca="false">Enterprise!G205</f>
        <v>85000</v>
      </c>
      <c r="H24" s="65" t="n">
        <f aca="false">Enterprise!H205</f>
        <v>202500</v>
      </c>
      <c r="I24" s="65" t="n">
        <f aca="false">Enterprise!I205</f>
        <v>157500</v>
      </c>
      <c r="J24" s="65" t="n">
        <f aca="false">Enterprise!J205</f>
        <v>87500</v>
      </c>
      <c r="K24" s="65" t="n">
        <f aca="false">Enterprise!K205</f>
        <v>277500</v>
      </c>
      <c r="L24" s="65" t="n">
        <f aca="false">Enterprise!L205</f>
        <v>160000</v>
      </c>
      <c r="M24" s="65" t="n">
        <f aca="false">Enterprise!M205</f>
        <v>86500</v>
      </c>
      <c r="N24" s="65" t="n">
        <f aca="false">Enterprise!N205</f>
        <v>280983.27705168</v>
      </c>
      <c r="O24" s="65" t="n">
        <f aca="false">Enterprise!O205</f>
        <v>163113.155609048</v>
      </c>
      <c r="P24" s="65" t="n">
        <f aca="false">Enterprise!P205</f>
        <v>153378.967680963</v>
      </c>
      <c r="Q24" s="65" t="n">
        <f aca="false">Enterprise!Q205</f>
        <v>323255.743848469</v>
      </c>
      <c r="R24" s="65" t="n">
        <f aca="false">Enterprise!R205</f>
        <v>226014.147689734</v>
      </c>
      <c r="S24" s="65" t="n">
        <f aca="false">Enterprise!S205</f>
        <v>159944.944791219</v>
      </c>
      <c r="T24" s="65" t="n">
        <f aca="false">Enterprise!T205</f>
        <v>282916.843538417</v>
      </c>
      <c r="U24" s="65" t="n">
        <f aca="false">Enterprise!U205</f>
        <v>253587.202870768</v>
      </c>
      <c r="V24" s="65" t="n">
        <f aca="false">Enterprise!V205</f>
        <v>138000</v>
      </c>
      <c r="W24" s="65" t="n">
        <f aca="false">Enterprise!W205</f>
        <v>278377.318225627</v>
      </c>
      <c r="X24" s="65" t="n">
        <f aca="false">Enterprise!X205</f>
        <v>237750</v>
      </c>
      <c r="Y24" s="65" t="n">
        <f aca="false">Enterprise!Y205</f>
        <v>137953.221740217</v>
      </c>
      <c r="Z24" s="65" t="n">
        <f aca="false">Enterprise!Z205</f>
        <v>288362.646885561</v>
      </c>
      <c r="AA24" s="65" t="n">
        <f aca="false">Enterprise!AA205</f>
        <v>266708.757335644</v>
      </c>
      <c r="AB24" s="65" t="n">
        <f aca="false">Enterprise!AB205</f>
        <v>176764.461004747</v>
      </c>
    </row>
    <row r="25" customFormat="false" ht="15" hidden="false" customHeight="false" outlineLevel="0" collapsed="false">
      <c r="A25" s="28" t="s">
        <v>1395</v>
      </c>
      <c r="B25" s="62"/>
      <c r="C25" s="64" t="n">
        <f aca="false">P25</f>
        <v>262121.071420328</v>
      </c>
      <c r="D25" s="64" t="n">
        <f aca="false">AB25</f>
        <v>354570.29922851</v>
      </c>
      <c r="E25" s="65" t="n">
        <f aca="false">CHOOSE(INT((Assumptions!$C$138+Assumptions!$F$198)/30)+1,E24*(((Assumptions!$C$138+Assumptions!$F$198)-30*INT((Assumptions!$C$138+Assumptions!$F$198)/30))/30),E24+0*(((Assumptions!$C$138+Assumptions!$F$198)-30*INT((Assumptions!$C$138+Assumptions!$F$198)/30))/30),E24+0+0*(((Assumptions!$C$138+Assumptions!$F$198)-30*INT((Assumptions!$C$138+Assumptions!$F$198)/30))/30),E24+0+0+0*(((Assumptions!$C$138+Assumptions!$F$198)-30*INT((Assumptions!$C$138+Assumptions!$F$198)/30))/30))</f>
        <v>200087.31</v>
      </c>
      <c r="F25" s="65" t="n">
        <f aca="false">CHOOSE(INT((Assumptions!$C$138+Assumptions!$F$198)/30)+1,F24*(((Assumptions!$C$138+Assumptions!$F$198)-30*INT((Assumptions!$C$138+Assumptions!$F$198)/30))/30),F24+E24*(((Assumptions!$C$138+Assumptions!$F$198)-30*INT((Assumptions!$C$138+Assumptions!$F$198)/30))/30),F24+E24+0*(((Assumptions!$C$138+Assumptions!$F$198)-30*INT((Assumptions!$C$138+Assumptions!$F$198)/30))/30),F24+E24+0+0*(((Assumptions!$C$138+Assumptions!$F$198)-30*INT((Assumptions!$C$138+Assumptions!$F$198)/30))/30))</f>
        <v>299107.96</v>
      </c>
      <c r="G25" s="65" t="n">
        <f aca="false">CHOOSE(INT((Assumptions!$C$138+Assumptions!$F$198)/30)+1,G24*(((Assumptions!$C$138+Assumptions!$F$198)-30*INT((Assumptions!$C$138+Assumptions!$F$198)/30))/30),G24+F24*(((Assumptions!$C$138+Assumptions!$F$198)-30*INT((Assumptions!$C$138+Assumptions!$F$198)/30))/30),G24+F24+E24*(((Assumptions!$C$138+Assumptions!$F$198)-30*INT((Assumptions!$C$138+Assumptions!$F$198)/30))/30),G24+F24+E24+0*(((Assumptions!$C$138+Assumptions!$F$198)-30*INT((Assumptions!$C$138+Assumptions!$F$198)/30))/30))</f>
        <v>195477.613333333</v>
      </c>
      <c r="H25" s="65" t="n">
        <f aca="false">CHOOSE(INT((Assumptions!$C$138+Assumptions!$F$198)/30)+1,H24*(((Assumptions!$C$138+Assumptions!$F$198)-30*INT((Assumptions!$C$138+Assumptions!$F$198)/30))/30),H24+G24*(((Assumptions!$C$138+Assumptions!$F$198)-30*INT((Assumptions!$C$138+Assumptions!$F$198)/30))/30),H24+G24+F24*(((Assumptions!$C$138+Assumptions!$F$198)-30*INT((Assumptions!$C$138+Assumptions!$F$198)/30))/30),H24+G24+F24+E24*(((Assumptions!$C$138+Assumptions!$F$198)-30*INT((Assumptions!$C$138+Assumptions!$F$198)/30))/30))</f>
        <v>259166.666666667</v>
      </c>
      <c r="I25" s="65" t="n">
        <f aca="false">CHOOSE(INT((Assumptions!$C$138+Assumptions!$F$198)/30)+1,I24*(((Assumptions!$C$138+Assumptions!$F$198)-30*INT((Assumptions!$C$138+Assumptions!$F$198)/30))/30),I24+H24*(((Assumptions!$C$138+Assumptions!$F$198)-30*INT((Assumptions!$C$138+Assumptions!$F$198)/30))/30),I24+H24+G24*(((Assumptions!$C$138+Assumptions!$F$198)-30*INT((Assumptions!$C$138+Assumptions!$F$198)/30))/30),I24+H24+G24+F24*(((Assumptions!$C$138+Assumptions!$F$198)-30*INT((Assumptions!$C$138+Assumptions!$F$198)/30))/30))</f>
        <v>292500</v>
      </c>
      <c r="J25" s="65" t="n">
        <f aca="false">CHOOSE(INT((Assumptions!$C$138+Assumptions!$F$198)/30)+1,J24*(((Assumptions!$C$138+Assumptions!$F$198)-30*INT((Assumptions!$C$138+Assumptions!$F$198)/30))/30),J24+I24*(((Assumptions!$C$138+Assumptions!$F$198)-30*INT((Assumptions!$C$138+Assumptions!$F$198)/30))/30),J24+I24+H24*(((Assumptions!$C$138+Assumptions!$F$198)-30*INT((Assumptions!$C$138+Assumptions!$F$198)/30))/30),J24+I24+H24+G24*(((Assumptions!$C$138+Assumptions!$F$198)-30*INT((Assumptions!$C$138+Assumptions!$F$198)/30))/30))</f>
        <v>192500</v>
      </c>
      <c r="K25" s="65" t="n">
        <f aca="false">CHOOSE(INT((Assumptions!$C$138+Assumptions!$F$198)/30)+1,K24*(((Assumptions!$C$138+Assumptions!$F$198)-30*INT((Assumptions!$C$138+Assumptions!$F$198)/30))/30),K24+J24*(((Assumptions!$C$138+Assumptions!$F$198)-30*INT((Assumptions!$C$138+Assumptions!$F$198)/30))/30),K24+J24+I24*(((Assumptions!$C$138+Assumptions!$F$198)-30*INT((Assumptions!$C$138+Assumptions!$F$198)/30))/30),K24+J24+I24+H24*(((Assumptions!$C$138+Assumptions!$F$198)-30*INT((Assumptions!$C$138+Assumptions!$F$198)/30))/30))</f>
        <v>335833.333333333</v>
      </c>
      <c r="L25" s="65" t="n">
        <f aca="false">CHOOSE(INT((Assumptions!$C$138+Assumptions!$F$198)/30)+1,L24*(((Assumptions!$C$138+Assumptions!$F$198)-30*INT((Assumptions!$C$138+Assumptions!$F$198)/30))/30),L24+K24*(((Assumptions!$C$138+Assumptions!$F$198)-30*INT((Assumptions!$C$138+Assumptions!$F$198)/30))/30),L24+K24+J24*(((Assumptions!$C$138+Assumptions!$F$198)-30*INT((Assumptions!$C$138+Assumptions!$F$198)/30))/30),L24+K24+J24+I24*(((Assumptions!$C$138+Assumptions!$F$198)-30*INT((Assumptions!$C$138+Assumptions!$F$198)/30))/30))</f>
        <v>345000</v>
      </c>
      <c r="M25" s="65" t="n">
        <f aca="false">CHOOSE(INT((Assumptions!$C$138+Assumptions!$F$198)/30)+1,M24*(((Assumptions!$C$138+Assumptions!$F$198)-30*INT((Assumptions!$C$138+Assumptions!$F$198)/30))/30),M24+L24*(((Assumptions!$C$138+Assumptions!$F$198)-30*INT((Assumptions!$C$138+Assumptions!$F$198)/30))/30),M24+L24+K24*(((Assumptions!$C$138+Assumptions!$F$198)-30*INT((Assumptions!$C$138+Assumptions!$F$198)/30))/30),M24+L24+K24+J24*(((Assumptions!$C$138+Assumptions!$F$198)-30*INT((Assumptions!$C$138+Assumptions!$F$198)/30))/30))</f>
        <v>193166.666666667</v>
      </c>
      <c r="N25" s="65" t="n">
        <f aca="false">CHOOSE(INT((Assumptions!$C$138+Assumptions!$F$198)/30)+1,N24*(((Assumptions!$C$138+Assumptions!$F$198)-30*INT((Assumptions!$C$138+Assumptions!$F$198)/30))/30),N24+M24*(((Assumptions!$C$138+Assumptions!$F$198)-30*INT((Assumptions!$C$138+Assumptions!$F$198)/30))/30),N24+M24+L24*(((Assumptions!$C$138+Assumptions!$F$198)-30*INT((Assumptions!$C$138+Assumptions!$F$198)/30))/30),N24+M24+L24+K24*(((Assumptions!$C$138+Assumptions!$F$198)-30*INT((Assumptions!$C$138+Assumptions!$F$198)/30))/30))</f>
        <v>338649.943718347</v>
      </c>
      <c r="O25" s="65" t="n">
        <f aca="false">CHOOSE(INT((Assumptions!$C$138+Assumptions!$F$198)/30)+1,O24*(((Assumptions!$C$138+Assumptions!$F$198)-30*INT((Assumptions!$C$138+Assumptions!$F$198)/30))/30),O24+N24*(((Assumptions!$C$138+Assumptions!$F$198)-30*INT((Assumptions!$C$138+Assumptions!$F$198)/30))/30),O24+N24+M24*(((Assumptions!$C$138+Assumptions!$F$198)-30*INT((Assumptions!$C$138+Assumptions!$F$198)/30))/30),O24+N24+M24+L24*(((Assumptions!$C$138+Assumptions!$F$198)-30*INT((Assumptions!$C$138+Assumptions!$F$198)/30))/30))</f>
        <v>350435.340310168</v>
      </c>
      <c r="P25" s="65" t="n">
        <f aca="false">CHOOSE(INT((Assumptions!$C$138+Assumptions!$F$198)/30)+1,P24*(((Assumptions!$C$138+Assumptions!$F$198)-30*INT((Assumptions!$C$138+Assumptions!$F$198)/30))/30),P24+O24*(((Assumptions!$C$138+Assumptions!$F$198)-30*INT((Assumptions!$C$138+Assumptions!$F$198)/30))/30),P24+O24+N24*(((Assumptions!$C$138+Assumptions!$F$198)-30*INT((Assumptions!$C$138+Assumptions!$F$198)/30))/30),P24+O24+N24+M24*(((Assumptions!$C$138+Assumptions!$F$198)-30*INT((Assumptions!$C$138+Assumptions!$F$198)/30))/30))</f>
        <v>262121.071420328</v>
      </c>
      <c r="Q25" s="65" t="n">
        <f aca="false">CHOOSE(INT((Assumptions!$C$138+Assumptions!$F$198)/30)+1,Q24*(((Assumptions!$C$138+Assumptions!$F$198)-30*INT((Assumptions!$C$138+Assumptions!$F$198)/30))/30),Q24+P24*(((Assumptions!$C$138+Assumptions!$F$198)-30*INT((Assumptions!$C$138+Assumptions!$F$198)/30))/30),Q24+P24+O24*(((Assumptions!$C$138+Assumptions!$F$198)-30*INT((Assumptions!$C$138+Assumptions!$F$198)/30))/30),Q24+P24+O24+N24*(((Assumptions!$C$138+Assumptions!$F$198)-30*INT((Assumptions!$C$138+Assumptions!$F$198)/30))/30))</f>
        <v>425508.388969111</v>
      </c>
      <c r="R25" s="65" t="n">
        <f aca="false">CHOOSE(INT((Assumptions!$C$138+Assumptions!$F$198)/30)+1,R24*(((Assumptions!$C$138+Assumptions!$F$198)-30*INT((Assumptions!$C$138+Assumptions!$F$198)/30))/30),R24+Q24*(((Assumptions!$C$138+Assumptions!$F$198)-30*INT((Assumptions!$C$138+Assumptions!$F$198)/30))/30),R24+Q24+P24*(((Assumptions!$C$138+Assumptions!$F$198)-30*INT((Assumptions!$C$138+Assumptions!$F$198)/30))/30),R24+Q24+P24+O24*(((Assumptions!$C$138+Assumptions!$F$198)-30*INT((Assumptions!$C$138+Assumptions!$F$198)/30))/30))</f>
        <v>441517.976922047</v>
      </c>
      <c r="S25" s="65" t="n">
        <f aca="false">CHOOSE(INT((Assumptions!$C$138+Assumptions!$F$198)/30)+1,S24*(((Assumptions!$C$138+Assumptions!$F$198)-30*INT((Assumptions!$C$138+Assumptions!$F$198)/30))/30),S24+R24*(((Assumptions!$C$138+Assumptions!$F$198)-30*INT((Assumptions!$C$138+Assumptions!$F$198)/30))/30),S24+R24+Q24*(((Assumptions!$C$138+Assumptions!$F$198)-30*INT((Assumptions!$C$138+Assumptions!$F$198)/30))/30),S24+R24+Q24+P24*(((Assumptions!$C$138+Assumptions!$F$198)-30*INT((Assumptions!$C$138+Assumptions!$F$198)/30))/30))</f>
        <v>310621.043251041</v>
      </c>
      <c r="T25" s="65" t="n">
        <f aca="false">CHOOSE(INT((Assumptions!$C$138+Assumptions!$F$198)/30)+1,T24*(((Assumptions!$C$138+Assumptions!$F$198)-30*INT((Assumptions!$C$138+Assumptions!$F$198)/30))/30),T24+S24*(((Assumptions!$C$138+Assumptions!$F$198)-30*INT((Assumptions!$C$138+Assumptions!$F$198)/30))/30),T24+S24+R24*(((Assumptions!$C$138+Assumptions!$F$198)-30*INT((Assumptions!$C$138+Assumptions!$F$198)/30))/30),T24+S24+R24+Q24*(((Assumptions!$C$138+Assumptions!$F$198)-30*INT((Assumptions!$C$138+Assumptions!$F$198)/30))/30))</f>
        <v>389546.806732563</v>
      </c>
      <c r="U25" s="65" t="n">
        <f aca="false">CHOOSE(INT((Assumptions!$C$138+Assumptions!$F$198)/30)+1,U24*(((Assumptions!$C$138+Assumptions!$F$198)-30*INT((Assumptions!$C$138+Assumptions!$F$198)/30))/30),U24+T24*(((Assumptions!$C$138+Assumptions!$F$198)-30*INT((Assumptions!$C$138+Assumptions!$F$198)/30))/30),U24+T24+S24*(((Assumptions!$C$138+Assumptions!$F$198)-30*INT((Assumptions!$C$138+Assumptions!$F$198)/30))/30),U24+T24+S24+R24*(((Assumptions!$C$138+Assumptions!$F$198)-30*INT((Assumptions!$C$138+Assumptions!$F$198)/30))/30))</f>
        <v>442198.43189638</v>
      </c>
      <c r="V25" s="65" t="n">
        <f aca="false">CHOOSE(INT((Assumptions!$C$138+Assumptions!$F$198)/30)+1,V24*(((Assumptions!$C$138+Assumptions!$F$198)-30*INT((Assumptions!$C$138+Assumptions!$F$198)/30))/30),V24+U24*(((Assumptions!$C$138+Assumptions!$F$198)-30*INT((Assumptions!$C$138+Assumptions!$F$198)/30))/30),V24+U24+T24*(((Assumptions!$C$138+Assumptions!$F$198)-30*INT((Assumptions!$C$138+Assumptions!$F$198)/30))/30),V24+U24+T24+S24*(((Assumptions!$C$138+Assumptions!$F$198)-30*INT((Assumptions!$C$138+Assumptions!$F$198)/30))/30))</f>
        <v>307058.135247179</v>
      </c>
      <c r="W25" s="65" t="n">
        <f aca="false">CHOOSE(INT((Assumptions!$C$138+Assumptions!$F$198)/30)+1,W24*(((Assumptions!$C$138+Assumptions!$F$198)-30*INT((Assumptions!$C$138+Assumptions!$F$198)/30))/30),W24+V24*(((Assumptions!$C$138+Assumptions!$F$198)-30*INT((Assumptions!$C$138+Assumptions!$F$198)/30))/30),W24+V24+U24*(((Assumptions!$C$138+Assumptions!$F$198)-30*INT((Assumptions!$C$138+Assumptions!$F$198)/30))/30),W24+V24+U24+T24*(((Assumptions!$C$138+Assumptions!$F$198)-30*INT((Assumptions!$C$138+Assumptions!$F$198)/30))/30))</f>
        <v>370377.318225627</v>
      </c>
      <c r="X25" s="65" t="n">
        <f aca="false">CHOOSE(INT((Assumptions!$C$138+Assumptions!$F$198)/30)+1,X24*(((Assumptions!$C$138+Assumptions!$F$198)-30*INT((Assumptions!$C$138+Assumptions!$F$198)/30))/30),X24+W24*(((Assumptions!$C$138+Assumptions!$F$198)-30*INT((Assumptions!$C$138+Assumptions!$F$198)/30))/30),X24+W24+V24*(((Assumptions!$C$138+Assumptions!$F$198)-30*INT((Assumptions!$C$138+Assumptions!$F$198)/30))/30),X24+W24+V24+U24*(((Assumptions!$C$138+Assumptions!$F$198)-30*INT((Assumptions!$C$138+Assumptions!$F$198)/30))/30))</f>
        <v>423334.878817084</v>
      </c>
      <c r="Y25" s="65" t="n">
        <f aca="false">CHOOSE(INT((Assumptions!$C$138+Assumptions!$F$198)/30)+1,Y24*(((Assumptions!$C$138+Assumptions!$F$198)-30*INT((Assumptions!$C$138+Assumptions!$F$198)/30))/30),Y24+X24*(((Assumptions!$C$138+Assumptions!$F$198)-30*INT((Assumptions!$C$138+Assumptions!$F$198)/30))/30),Y24+X24+W24*(((Assumptions!$C$138+Assumptions!$F$198)-30*INT((Assumptions!$C$138+Assumptions!$F$198)/30))/30),Y24+X24+W24+V24*(((Assumptions!$C$138+Assumptions!$F$198)-30*INT((Assumptions!$C$138+Assumptions!$F$198)/30))/30))</f>
        <v>296453.221740217</v>
      </c>
      <c r="Z25" s="65" t="n">
        <f aca="false">CHOOSE(INT((Assumptions!$C$138+Assumptions!$F$198)/30)+1,Z24*(((Assumptions!$C$138+Assumptions!$F$198)-30*INT((Assumptions!$C$138+Assumptions!$F$198)/30))/30),Z24+Y24*(((Assumptions!$C$138+Assumptions!$F$198)-30*INT((Assumptions!$C$138+Assumptions!$F$198)/30))/30),Z24+Y24+X24*(((Assumptions!$C$138+Assumptions!$F$198)-30*INT((Assumptions!$C$138+Assumptions!$F$198)/30))/30),Z24+Y24+X24+W24*(((Assumptions!$C$138+Assumptions!$F$198)-30*INT((Assumptions!$C$138+Assumptions!$F$198)/30))/30))</f>
        <v>380331.461379039</v>
      </c>
      <c r="AA25" s="65" t="n">
        <f aca="false">CHOOSE(INT((Assumptions!$C$138+Assumptions!$F$198)/30)+1,AA24*(((Assumptions!$C$138+Assumptions!$F$198)-30*INT((Assumptions!$C$138+Assumptions!$F$198)/30))/30),AA24+Z24*(((Assumptions!$C$138+Assumptions!$F$198)-30*INT((Assumptions!$C$138+Assumptions!$F$198)/30))/30),AA24+Z24+Y24*(((Assumptions!$C$138+Assumptions!$F$198)-30*INT((Assumptions!$C$138+Assumptions!$F$198)/30))/30),AA24+Z24+Y24+X24*(((Assumptions!$C$138+Assumptions!$F$198)-30*INT((Assumptions!$C$138+Assumptions!$F$198)/30))/30))</f>
        <v>458950.521926018</v>
      </c>
      <c r="AB25" s="65" t="n">
        <f aca="false">CHOOSE(INT((Assumptions!$C$138+Assumptions!$F$198)/30)+1,AB24*(((Assumptions!$C$138+Assumptions!$F$198)-30*INT((Assumptions!$C$138+Assumptions!$F$198)/30))/30),AB24+AA24*(((Assumptions!$C$138+Assumptions!$F$198)-30*INT((Assumptions!$C$138+Assumptions!$F$198)/30))/30),AB24+AA24+Z24*(((Assumptions!$C$138+Assumptions!$F$198)-30*INT((Assumptions!$C$138+Assumptions!$F$198)/30))/30),AB24+AA24+Z24+Y24*(((Assumptions!$C$138+Assumptions!$F$198)-30*INT((Assumptions!$C$138+Assumptions!$F$198)/30))/30))</f>
        <v>354570.29922851</v>
      </c>
    </row>
    <row r="26" customFormat="false" ht="15" hidden="false" customHeight="false" outlineLevel="0" collapsed="false">
      <c r="A26" s="28" t="s">
        <v>1389</v>
      </c>
      <c r="B26" s="62" t="s">
        <v>1396</v>
      </c>
      <c r="C26" s="64" t="n">
        <f aca="false">SUM(E26:P26)</f>
        <v>1984324.72892136</v>
      </c>
      <c r="D26" s="64" t="n">
        <f aca="false">SUM(Q26:AB26)</f>
        <v>2677186.06012222</v>
      </c>
      <c r="E26" s="65" t="n">
        <f aca="false">IF(E$5="A",Inputs_Actuals!E158,Inputs_Actuals!$C$177+E24-E25)</f>
        <v>143333.34</v>
      </c>
      <c r="F26" s="65" t="n">
        <f aca="false">IF(F$5="A",Inputs_Actuals!F158,E27+F24-F25)</f>
        <v>150029.1</v>
      </c>
      <c r="G26" s="65" t="n">
        <f aca="false">IF(G$5="A",Inputs_Actuals!G158,F27+G24-G25)</f>
        <v>188630.35</v>
      </c>
      <c r="H26" s="65" t="n">
        <f aca="false">IF(H$5="A",Inputs_Actuals!H158,G27+H24-H25)</f>
        <v>138810.95</v>
      </c>
      <c r="I26" s="65" t="n">
        <f aca="false">IF(I$5="A",Inputs_Actuals!I158,H27+I24-I25)</f>
        <v>124166.67</v>
      </c>
      <c r="J26" s="65" t="n">
        <f aca="false">IF(J$5="A",Inputs_Actuals!J158,I27+J24-J25)</f>
        <v>187500</v>
      </c>
      <c r="K26" s="65" t="n">
        <f aca="false">IF(K$5="A",Inputs_Actuals!K158,J27+K24-K25)</f>
        <v>134166.67</v>
      </c>
      <c r="L26" s="65" t="n">
        <f aca="false">IF(L$5="A",Inputs_Actuals!L158,K27+L24-L25)</f>
        <v>150833.33</v>
      </c>
      <c r="M26" s="65" t="n">
        <f aca="false">IF(M$5="A",Inputs_Actuals!M158,L27+M24-M25)</f>
        <v>238333.323333333</v>
      </c>
      <c r="N26" s="65" t="n">
        <f aca="false">IF(N$5="A",Inputs_Actuals!N158,M27+N24-N25)</f>
        <v>135500</v>
      </c>
      <c r="O26" s="65" t="n">
        <f aca="false">IF(O$5="A",Inputs_Actuals!O158,N27+O24-O25)</f>
        <v>151327.759017227</v>
      </c>
      <c r="P26" s="65" t="n">
        <f aca="false">IF(P$5="A",Inputs_Actuals!P158,O27+P24-P25)</f>
        <v>241693.236570803</v>
      </c>
      <c r="Q26" s="65" t="n">
        <f aca="false">IF(Q$5="A",Inputs_Actuals!Q158,P27+Q24-Q25)</f>
        <v>159868.426299686</v>
      </c>
      <c r="R26" s="65" t="n">
        <f aca="false">IF(R$5="A",Inputs_Actuals!R158,Q27+R24-R25)</f>
        <v>210004.559736798</v>
      </c>
      <c r="S26" s="65" t="n">
        <f aca="false">IF(S$5="A",Inputs_Actuals!S158,R27+S24-S25)</f>
        <v>290841.878462224</v>
      </c>
      <c r="T26" s="65" t="n">
        <f aca="false">IF(T$5="A",Inputs_Actuals!T158,S27+T24-T25)</f>
        <v>203991.080056896</v>
      </c>
      <c r="U26" s="65" t="n">
        <f aca="false">IF(U$5="A",Inputs_Actuals!U158,T27+U24-U25)</f>
        <v>200935.577706951</v>
      </c>
      <c r="V26" s="65" t="n">
        <f aca="false">IF(V$5="A",Inputs_Actuals!V158,U27+V24-V25)</f>
        <v>273140.296649201</v>
      </c>
      <c r="W26" s="65" t="n">
        <f aca="false">IF(W$5="A",Inputs_Actuals!W158,V27+W24-W25)</f>
        <v>215058.135247179</v>
      </c>
      <c r="X26" s="65" t="n">
        <f aca="false">IF(X$5="A",Inputs_Actuals!X158,W27+X24-X25)</f>
        <v>184792.439408542</v>
      </c>
      <c r="Y26" s="65" t="n">
        <f aca="false">IF(Y$5="A",Inputs_Actuals!Y158,X27+Y24-Y25)</f>
        <v>264834.878817084</v>
      </c>
      <c r="Z26" s="65" t="n">
        <f aca="false">IF(Z$5="A",Inputs_Actuals!Z158,Y27+Z24-Z25)</f>
        <v>204484.407246739</v>
      </c>
      <c r="AA26" s="65" t="n">
        <f aca="false">IF(AA$5="A",Inputs_Actuals!AA158,Z27+AA24-AA25)</f>
        <v>188089.696788665</v>
      </c>
      <c r="AB26" s="65" t="n">
        <f aca="false">IF(AB$5="A",Inputs_Actuals!AB158,AA27+AB24-AB25)</f>
        <v>281144.683702255</v>
      </c>
    </row>
    <row r="27" customFormat="false" ht="15" hidden="false" customHeight="false" outlineLevel="0" collapsed="false">
      <c r="A27" s="58" t="s">
        <v>1397</v>
      </c>
      <c r="B27" s="59"/>
      <c r="C27" s="60" t="n">
        <f aca="false">P27</f>
        <v>262121.071420328</v>
      </c>
      <c r="D27" s="60" t="n">
        <f aca="false">AB27</f>
        <v>354570.29922851</v>
      </c>
      <c r="E27" s="61" t="n">
        <f aca="false">Inputs_Actuals!$C$177+E24-E26</f>
        <v>283420.64</v>
      </c>
      <c r="F27" s="60" t="n">
        <f aca="false">E27+F24-F26</f>
        <v>299107.96</v>
      </c>
      <c r="G27" s="60" t="n">
        <f aca="false">F27+G24-G26</f>
        <v>195477.61</v>
      </c>
      <c r="H27" s="60" t="n">
        <f aca="false">G27+H24-H26</f>
        <v>259166.66</v>
      </c>
      <c r="I27" s="60" t="n">
        <f aca="false">H27+I24-I26</f>
        <v>292499.99</v>
      </c>
      <c r="J27" s="60" t="n">
        <f aca="false">I27+J24-J26</f>
        <v>192499.99</v>
      </c>
      <c r="K27" s="60" t="n">
        <f aca="false">J27+K24-K26</f>
        <v>335833.32</v>
      </c>
      <c r="L27" s="60" t="n">
        <f aca="false">K27+L24-L26</f>
        <v>344999.99</v>
      </c>
      <c r="M27" s="60" t="n">
        <f aca="false">L27+M24-M26</f>
        <v>193166.666666667</v>
      </c>
      <c r="N27" s="60" t="n">
        <f aca="false">M27+N24-N26</f>
        <v>338649.943718347</v>
      </c>
      <c r="O27" s="60" t="n">
        <f aca="false">N27+O24-O26</f>
        <v>350435.340310168</v>
      </c>
      <c r="P27" s="60" t="n">
        <f aca="false">O27+P24-P26</f>
        <v>262121.071420328</v>
      </c>
      <c r="Q27" s="60" t="n">
        <f aca="false">P27+Q24-Q26</f>
        <v>425508.388969111</v>
      </c>
      <c r="R27" s="60" t="n">
        <f aca="false">Q27+R24-R26</f>
        <v>441517.976922047</v>
      </c>
      <c r="S27" s="60" t="n">
        <f aca="false">R27+S24-S26</f>
        <v>310621.043251041</v>
      </c>
      <c r="T27" s="60" t="n">
        <f aca="false">S27+T24-T26</f>
        <v>389546.806732563</v>
      </c>
      <c r="U27" s="60" t="n">
        <f aca="false">T27+U24-U26</f>
        <v>442198.43189638</v>
      </c>
      <c r="V27" s="60" t="n">
        <f aca="false">U27+V24-V26</f>
        <v>307058.135247179</v>
      </c>
      <c r="W27" s="60" t="n">
        <f aca="false">V27+W24-W26</f>
        <v>370377.318225627</v>
      </c>
      <c r="X27" s="60" t="n">
        <f aca="false">W27+X24-X26</f>
        <v>423334.878817084</v>
      </c>
      <c r="Y27" s="60" t="n">
        <f aca="false">X27+Y24-Y26</f>
        <v>296453.221740217</v>
      </c>
      <c r="Z27" s="60" t="n">
        <f aca="false">Y27+Z24-Z26</f>
        <v>380331.461379039</v>
      </c>
      <c r="AA27" s="60" t="n">
        <f aca="false">Z27+AA24-AA26</f>
        <v>458950.521926018</v>
      </c>
      <c r="AB27" s="60" t="n">
        <f aca="false">AA27+AB24-AB26</f>
        <v>354570.29922851</v>
      </c>
    </row>
    <row r="28" customFormat="false" ht="15" hidden="false" customHeight="false" outlineLevel="0" collapsed="false">
      <c r="A28" s="22" t="s">
        <v>942</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1398</v>
      </c>
      <c r="B29" s="62"/>
      <c r="C29" s="64" t="n">
        <f aca="false">P29</f>
        <v>453721.071420328</v>
      </c>
      <c r="D29" s="64" t="n">
        <f aca="false">AB29</f>
        <v>569850.29922851</v>
      </c>
      <c r="E29" s="73" t="n">
        <f aca="false">E21+E27</f>
        <v>425420.64</v>
      </c>
      <c r="F29" s="73" t="n">
        <f aca="false">F21+F27</f>
        <v>404107.96</v>
      </c>
      <c r="G29" s="73" t="n">
        <f aca="false">G21+G27</f>
        <v>338477.61</v>
      </c>
      <c r="H29" s="73" t="n">
        <f aca="false">H21+H27</f>
        <v>473166.66</v>
      </c>
      <c r="I29" s="73" t="n">
        <f aca="false">I21+I27</f>
        <v>463571.198</v>
      </c>
      <c r="J29" s="73" t="n">
        <f aca="false">J21+J27</f>
        <v>362571.198</v>
      </c>
      <c r="K29" s="73" t="n">
        <f aca="false">K21+K27</f>
        <v>579904.528</v>
      </c>
      <c r="L29" s="73" t="n">
        <f aca="false">L21+L27</f>
        <v>520071.198</v>
      </c>
      <c r="M29" s="73" t="n">
        <f aca="false">M21+M27</f>
        <v>363237.876666667</v>
      </c>
      <c r="N29" s="73" t="n">
        <f aca="false">N21+N27</f>
        <v>564649.943718347</v>
      </c>
      <c r="O29" s="73" t="n">
        <f aca="false">O21+O27</f>
        <v>566835.340310168</v>
      </c>
      <c r="P29" s="73" t="n">
        <f aca="false">P21+P27</f>
        <v>453721.071420328</v>
      </c>
      <c r="Q29" s="73" t="n">
        <f aca="false">Q21+Q27</f>
        <v>651508.388969111</v>
      </c>
      <c r="R29" s="73" t="n">
        <f aca="false">R21+R27</f>
        <v>658877.976922047</v>
      </c>
      <c r="S29" s="73" t="n">
        <f aca="false">S21+S27</f>
        <v>556288.45648523</v>
      </c>
      <c r="T29" s="73" t="n">
        <f aca="false">T21+T27</f>
        <v>708406.265921174</v>
      </c>
      <c r="U29" s="73" t="n">
        <f aca="false">U21+U27</f>
        <v>756464.990769681</v>
      </c>
      <c r="V29" s="73" t="n">
        <f aca="false">V21+V27</f>
        <v>562461.981740868</v>
      </c>
      <c r="W29" s="73" t="n">
        <f aca="false">W21+W27</f>
        <v>611417.318225627</v>
      </c>
      <c r="X29" s="73" t="n">
        <f aca="false">X21+X27</f>
        <v>640054.878817084</v>
      </c>
      <c r="Y29" s="73" t="n">
        <f aca="false">Y21+Y27</f>
        <v>512693.221740217</v>
      </c>
      <c r="Z29" s="73" t="n">
        <f aca="false">Z21+Z27</f>
        <v>621371.461379039</v>
      </c>
      <c r="AA29" s="73" t="n">
        <f aca="false">AA21+AA27</f>
        <v>674230.521926018</v>
      </c>
      <c r="AB29" s="73" t="n">
        <f aca="false">AB21+AB27</f>
        <v>569850.29922851</v>
      </c>
    </row>
    <row r="30" customFormat="false" ht="15" hidden="false" customHeight="false" outlineLevel="0" collapsed="false">
      <c r="A30" s="28" t="s">
        <v>1399</v>
      </c>
      <c r="B30" s="62"/>
      <c r="C30" s="67" t="n">
        <f aca="false">P30</f>
        <v>42.6867661831809</v>
      </c>
      <c r="D30" s="67" t="n">
        <f aca="false">AB30</f>
        <v>46.1988178980403</v>
      </c>
      <c r="E30" s="68" t="n">
        <f aca="false">IFERROR(E29/SUM(E14:E14,E24:E24)*SUM(Assumptions!E$208:E$208),0)</f>
        <v>48.4698821124734</v>
      </c>
      <c r="F30" s="68" t="n">
        <f aca="false">IFERROR(F29/SUM(E14:F14,E24:F24)*SUM(Assumptions!E$208:F$208),0)</f>
        <v>48.1855091108549</v>
      </c>
      <c r="G30" s="68" t="n">
        <f aca="false">IFERROR(G29/SUM(E14:G14,E24:G24)*SUM(Assumptions!E$208:G$208),0)</f>
        <v>44.4842566789173</v>
      </c>
      <c r="H30" s="68" t="n">
        <f aca="false">IFERROR(H29/SUM(F14:H14,F24:H24)*SUM(Assumptions!F$208:H$208),0)</f>
        <v>55.4674946835318</v>
      </c>
      <c r="I30" s="68" t="n">
        <f aca="false">IFERROR(I29/SUM(G14:I14,G24:I24)*SUM(Assumptions!G$208:I$208),0)</f>
        <v>55.4546182100735</v>
      </c>
      <c r="J30" s="68" t="n">
        <f aca="false">IFERROR(J29/SUM(H14:J14,H24:J24)*SUM(Assumptions!H$208:J$208),0)</f>
        <v>42.2690187389028</v>
      </c>
      <c r="K30" s="68" t="n">
        <f aca="false">IFERROR(K29/SUM(I14:K14,I24:K24)*SUM(Assumptions!I$208:K$208),0)</f>
        <v>61.923165584707</v>
      </c>
      <c r="L30" s="68" t="n">
        <f aca="false">IFERROR(L29/SUM(J14:L14,J24:L24)*SUM(Assumptions!J$208:L$208),0)</f>
        <v>56.556205929078</v>
      </c>
      <c r="M30" s="68" t="n">
        <f aca="false">IFERROR(M29/SUM(K14:M14,K24:M24)*SUM(Assumptions!K$208:M$208),0)</f>
        <v>39.5477924891519</v>
      </c>
      <c r="N30" s="68" t="n">
        <f aca="false">IFERROR(N29/SUM(L14:N14,L24:N24)*SUM(Assumptions!L$208:N$208),0)</f>
        <v>61.2243001448381</v>
      </c>
      <c r="O30" s="68" t="n">
        <f aca="false">IFERROR(O29/SUM(M14:O14,M24:O24)*SUM(Assumptions!M$208:O$208),0)</f>
        <v>56.6215345295818</v>
      </c>
      <c r="P30" s="68" t="n">
        <f aca="false">IFERROR(P29/SUM(N14:P14,N24:P24)*SUM(Assumptions!N$208:P$208),0)</f>
        <v>42.6867661831809</v>
      </c>
      <c r="Q30" s="68" t="n">
        <f aca="false">IFERROR(Q29/SUM(O14:Q14,O24:Q24)*SUM(Assumptions!O$208:Q$208),0)</f>
        <v>58.7549841703701</v>
      </c>
      <c r="R30" s="68" t="n">
        <f aca="false">IFERROR(R29/SUM(P14:R14,P24:R24)*SUM(Assumptions!P$208:R$208),0)</f>
        <v>54.7034439974029</v>
      </c>
      <c r="S30" s="68" t="n">
        <f aca="false">IFERROR(S29/SUM(Q14:S14,Q24:S24)*SUM(Assumptions!Q$208:S$208),0)</f>
        <v>43.7638659388728</v>
      </c>
      <c r="T30" s="68" t="n">
        <f aca="false">IFERROR(T29/SUM(R14:T14,R24:T24)*SUM(Assumptions!R$208:T$208),0)</f>
        <v>54.3095111418199</v>
      </c>
      <c r="U30" s="68" t="n">
        <f aca="false">IFERROR(U29/SUM(S14:U14,S24:U24)*SUM(Assumptions!S$208:U$208),0)</f>
        <v>55.7997721189455</v>
      </c>
      <c r="V30" s="68" t="n">
        <f aca="false">IFERROR(V29/SUM(T14:V14,T24:V24)*SUM(Assumptions!T$208:V$208),0)</f>
        <v>42.8013526307939</v>
      </c>
      <c r="W30" s="68" t="n">
        <f aca="false">IFERROR(W29/SUM(U14:W14,U24:W24)*SUM(Assumptions!U$208:W$208),0)</f>
        <v>49.6424696974647</v>
      </c>
      <c r="X30" s="68" t="n">
        <f aca="false">IFERROR(X29/SUM(V14:X14,V24:X24)*SUM(Assumptions!V$208:X$208),0)</f>
        <v>55.6292198012223</v>
      </c>
      <c r="Y30" s="68" t="n">
        <f aca="false">IFERROR(Y29/SUM(W14:Y14,W24:Y24)*SUM(Assumptions!W$208:Y$208),0)</f>
        <v>44.5617794745873</v>
      </c>
      <c r="Z30" s="68" t="n">
        <f aca="false">IFERROR(Z29/SUM(X14:Z14,X24:Z24)*SUM(Assumptions!X$208:Z$208),0)</f>
        <v>53.5030421892621</v>
      </c>
      <c r="AA30" s="68" t="n">
        <f aca="false">IFERROR(AA29/SUM(Y14:AA14,Y24:AA24)*SUM(Assumptions!Y$208:AA$208),0)</f>
        <v>55.9816041593154</v>
      </c>
      <c r="AB30" s="68" t="n">
        <f aca="false">IFERROR(AB29/SUM(Z14:AB14,Z24:AB24)*SUM(Assumptions!Z$208:AB$208),0)</f>
        <v>46.1988178980403</v>
      </c>
    </row>
    <row r="31" customFormat="false" ht="15" hidden="false" customHeight="false" outlineLevel="0" collapsed="false">
      <c r="A31" s="58" t="s">
        <v>1400</v>
      </c>
      <c r="B31" s="59"/>
      <c r="C31" s="60" t="n">
        <f aca="false">SUM(E31:P31)</f>
        <v>7004495.91626967</v>
      </c>
      <c r="D31" s="60" t="n">
        <f aca="false">SUM(Q31:AB31)</f>
        <v>9230850.57239209</v>
      </c>
      <c r="E31" s="60" t="n">
        <f aca="false">E11+E20+E26</f>
        <v>489238.48</v>
      </c>
      <c r="F31" s="60" t="n">
        <f aca="false">F11+F20+F26</f>
        <v>535517.15</v>
      </c>
      <c r="G31" s="60" t="n">
        <f aca="false">G11+G20+G26</f>
        <v>557139.6</v>
      </c>
      <c r="H31" s="60" t="n">
        <f aca="false">H11+H20+H26</f>
        <v>508648.86</v>
      </c>
      <c r="I31" s="60" t="n">
        <f aca="false">I11+I20+I26</f>
        <v>550704.75</v>
      </c>
      <c r="J31" s="60" t="n">
        <f aca="false">J11+J20+J26</f>
        <v>619402.38</v>
      </c>
      <c r="K31" s="60" t="n">
        <f aca="false">K11+K20+K26</f>
        <v>530935.15</v>
      </c>
      <c r="L31" s="60" t="n">
        <f aca="false">L11+L20+L26</f>
        <v>591101.47</v>
      </c>
      <c r="M31" s="60" t="n">
        <f aca="false">M11+M20+M26</f>
        <v>693459.527362745</v>
      </c>
      <c r="N31" s="60" t="n">
        <f aca="false">N11+N20+N26</f>
        <v>569296.883956083</v>
      </c>
      <c r="O31" s="60" t="n">
        <f aca="false">O11+O20+O26</f>
        <v>627249.482583871</v>
      </c>
      <c r="P31" s="60" t="n">
        <f aca="false">P11+P20+P26</f>
        <v>731802.182366968</v>
      </c>
      <c r="Q31" s="60" t="n">
        <f aca="false">Q11+Q20+Q26</f>
        <v>643099.556278615</v>
      </c>
      <c r="R31" s="60" t="n">
        <f aca="false">R11+R20+R26</f>
        <v>708279.152225</v>
      </c>
      <c r="S31" s="60" t="n">
        <f aca="false">S11+S20+S26</f>
        <v>812043.731424076</v>
      </c>
      <c r="T31" s="60" t="n">
        <f aca="false">T11+T20+T26</f>
        <v>722177.046119882</v>
      </c>
      <c r="U31" s="60" t="n">
        <f aca="false">U11+U20+U26</f>
        <v>771437.633209053</v>
      </c>
      <c r="V31" s="60" t="n">
        <f aca="false">V11+V20+V26</f>
        <v>868497.778960543</v>
      </c>
      <c r="W31" s="60" t="n">
        <f aca="false">W11+W20+W26</f>
        <v>774199.393953375</v>
      </c>
      <c r="X31" s="60" t="n">
        <f aca="false">X11+X20+X26</f>
        <v>713427.911315923</v>
      </c>
      <c r="Y31" s="60" t="n">
        <f aca="false">Y11+Y20+Y26</f>
        <v>827572.091882809</v>
      </c>
      <c r="Z31" s="60" t="n">
        <f aca="false">Z11+Z20+Z26</f>
        <v>763260.709128405</v>
      </c>
      <c r="AA31" s="60" t="n">
        <f aca="false">AA11+AA20+AA26</f>
        <v>768753.269870136</v>
      </c>
      <c r="AB31" s="60" t="n">
        <f aca="false">AB11+AB20+AB26</f>
        <v>858102.29802427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1401</v>
      </c>
    </row>
    <row r="3" customFormat="false" ht="15" hidden="false" customHeight="false" outlineLevel="0" collapsed="false">
      <c r="A3" s="25" t="s">
        <v>1402</v>
      </c>
    </row>
    <row r="4" customFormat="false" ht="15" hidden="false" customHeight="false" outlineLevel="0" collapsed="false">
      <c r="A4" s="0" t="s">
        <v>1403</v>
      </c>
      <c r="B4" s="118" t="n">
        <f aca="false">Assumptions!$C$15</f>
        <v>46265</v>
      </c>
    </row>
    <row r="6" customFormat="false" ht="30" hidden="false" customHeight="true" outlineLevel="0" collapsed="false">
      <c r="A6" s="26" t="s">
        <v>1404</v>
      </c>
      <c r="B6" s="27" t="s">
        <v>1405</v>
      </c>
      <c r="C6" s="27" t="s">
        <v>1406</v>
      </c>
      <c r="D6" s="27" t="s">
        <v>1407</v>
      </c>
      <c r="E6" s="27" t="s">
        <v>1408</v>
      </c>
      <c r="F6" s="27" t="s">
        <v>1409</v>
      </c>
      <c r="G6" s="27" t="s">
        <v>1410</v>
      </c>
      <c r="H6" s="27" t="s">
        <v>1411</v>
      </c>
      <c r="I6" s="27" t="s">
        <v>1412</v>
      </c>
      <c r="J6" s="27" t="s">
        <v>1413</v>
      </c>
      <c r="K6" s="27" t="s">
        <v>1414</v>
      </c>
      <c r="L6" s="27" t="s">
        <v>1415</v>
      </c>
    </row>
    <row r="7" customFormat="false" ht="32.8" hidden="false" customHeight="false" outlineLevel="0" collapsed="false">
      <c r="A7" s="15" t="s">
        <v>1416</v>
      </c>
      <c r="B7" s="15" t="s">
        <v>1417</v>
      </c>
      <c r="C7" s="15" t="s">
        <v>1418</v>
      </c>
      <c r="D7" s="107" t="n">
        <v>18071.21</v>
      </c>
      <c r="E7" s="119" t="n">
        <v>46218</v>
      </c>
      <c r="F7" s="120" t="n">
        <f aca="false">MAX(0,$B$4-E7)</f>
        <v>47</v>
      </c>
      <c r="G7" s="29" t="n">
        <f aca="false">IF(E7&gt;=$B$4,D7,0)</f>
        <v>0</v>
      </c>
      <c r="H7" s="29" t="n">
        <f aca="false">IF(AND(F7&gt;=1,F7&lt;=30),D7,0)</f>
        <v>0</v>
      </c>
      <c r="I7" s="29" t="n">
        <f aca="false">IF(AND(F7&gt;30,F7&lt;=60),D7,0)</f>
        <v>18071.21</v>
      </c>
      <c r="J7" s="29" t="n">
        <f aca="false">IF(AND(F7&gt;60,F7&lt;=90),D7,0)</f>
        <v>0</v>
      </c>
      <c r="K7" s="29" t="n">
        <f aca="false">IF(F7&gt;90,D7,0)</f>
        <v>0</v>
      </c>
      <c r="L7" s="46" t="s">
        <v>1419</v>
      </c>
    </row>
    <row r="8" customFormat="false" ht="15" hidden="false" customHeight="false" outlineLevel="0" collapsed="false">
      <c r="A8" s="15" t="s">
        <v>1420</v>
      </c>
      <c r="B8" s="15" t="s">
        <v>1421</v>
      </c>
      <c r="C8" s="15" t="s">
        <v>1418</v>
      </c>
      <c r="D8" s="107" t="n">
        <v>78000</v>
      </c>
      <c r="E8" s="119" t="n">
        <v>46279</v>
      </c>
      <c r="F8" s="120" t="n">
        <f aca="false">MAX(0,$B$4-E8)</f>
        <v>0</v>
      </c>
      <c r="G8" s="29" t="n">
        <f aca="false">IF(E8&gt;=$B$4,D8,0)</f>
        <v>78000</v>
      </c>
      <c r="H8" s="29" t="n">
        <f aca="false">IF(AND(F8&gt;=1,F8&lt;=30),D8,0)</f>
        <v>0</v>
      </c>
      <c r="I8" s="29" t="n">
        <f aca="false">IF(AND(F8&gt;30,F8&lt;=60),D8,0)</f>
        <v>0</v>
      </c>
      <c r="J8" s="29" t="n">
        <f aca="false">IF(AND(F8&gt;60,F8&lt;=90),D8,0)</f>
        <v>0</v>
      </c>
      <c r="K8" s="29" t="n">
        <f aca="false">IF(F8&gt;90,D8,0)</f>
        <v>0</v>
      </c>
      <c r="L8" s="46" t="s">
        <v>1422</v>
      </c>
    </row>
    <row r="9" customFormat="false" ht="15" hidden="false" customHeight="false" outlineLevel="0" collapsed="false">
      <c r="A9" s="15" t="s">
        <v>1423</v>
      </c>
      <c r="B9" s="15" t="s">
        <v>1421</v>
      </c>
      <c r="C9" s="15" t="s">
        <v>1418</v>
      </c>
      <c r="D9" s="107" t="n">
        <v>22000</v>
      </c>
      <c r="E9" s="119" t="n">
        <v>46279</v>
      </c>
      <c r="F9" s="120" t="n">
        <f aca="false">MAX(0,$B$4-E9)</f>
        <v>0</v>
      </c>
      <c r="G9" s="29" t="n">
        <f aca="false">IF(E9&gt;=$B$4,D9,0)</f>
        <v>22000</v>
      </c>
      <c r="H9" s="29" t="n">
        <f aca="false">IF(AND(F9&gt;=1,F9&lt;=30),D9,0)</f>
        <v>0</v>
      </c>
      <c r="I9" s="29" t="n">
        <f aca="false">IF(AND(F9&gt;30,F9&lt;=60),D9,0)</f>
        <v>0</v>
      </c>
      <c r="J9" s="29" t="n">
        <f aca="false">IF(AND(F9&gt;60,F9&lt;=90),D9,0)</f>
        <v>0</v>
      </c>
      <c r="K9" s="29" t="n">
        <f aca="false">IF(F9&gt;90,D9,0)</f>
        <v>0</v>
      </c>
      <c r="L9" s="46" t="s">
        <v>1424</v>
      </c>
    </row>
    <row r="10" customFormat="false" ht="15" hidden="false" customHeight="false" outlineLevel="0" collapsed="false">
      <c r="A10" s="15" t="s">
        <v>1425</v>
      </c>
      <c r="B10" s="15" t="s">
        <v>1426</v>
      </c>
      <c r="C10" s="15" t="s">
        <v>1418</v>
      </c>
      <c r="D10" s="107" t="n">
        <v>57000</v>
      </c>
      <c r="E10" s="119" t="n">
        <v>46310</v>
      </c>
      <c r="F10" s="120" t="n">
        <f aca="false">MAX(0,$B$4-E10)</f>
        <v>0</v>
      </c>
      <c r="G10" s="29" t="n">
        <f aca="false">IF(E10&gt;=$B$4,D10,0)</f>
        <v>57000</v>
      </c>
      <c r="H10" s="29" t="n">
        <f aca="false">IF(AND(F10&gt;=1,F10&lt;=30),D10,0)</f>
        <v>0</v>
      </c>
      <c r="I10" s="29" t="n">
        <f aca="false">IF(AND(F10&gt;30,F10&lt;=60),D10,0)</f>
        <v>0</v>
      </c>
      <c r="J10" s="29" t="n">
        <f aca="false">IF(AND(F10&gt;60,F10&lt;=90),D10,0)</f>
        <v>0</v>
      </c>
      <c r="K10" s="29" t="n">
        <f aca="false">IF(F10&gt;90,D10,0)</f>
        <v>0</v>
      </c>
      <c r="L10" s="46" t="s">
        <v>1422</v>
      </c>
    </row>
    <row r="11" customFormat="false" ht="15" hidden="false" customHeight="false" outlineLevel="0" collapsed="false">
      <c r="A11" s="15" t="s">
        <v>1427</v>
      </c>
      <c r="B11" s="15" t="s">
        <v>1428</v>
      </c>
      <c r="C11" s="15" t="s">
        <v>1429</v>
      </c>
      <c r="D11" s="107" t="n">
        <v>70000</v>
      </c>
      <c r="E11" s="119" t="n">
        <v>46279</v>
      </c>
      <c r="F11" s="120" t="n">
        <f aca="false">MAX(0,$B$4-E11)</f>
        <v>0</v>
      </c>
      <c r="G11" s="29" t="n">
        <f aca="false">IF(E11&gt;=$B$4,D11,0)</f>
        <v>70000</v>
      </c>
      <c r="H11" s="29" t="n">
        <f aca="false">IF(AND(F11&gt;=1,F11&lt;=30),D11,0)</f>
        <v>0</v>
      </c>
      <c r="I11" s="29" t="n">
        <f aca="false">IF(AND(F11&gt;30,F11&lt;=60),D11,0)</f>
        <v>0</v>
      </c>
      <c r="J11" s="29" t="n">
        <f aca="false">IF(AND(F11&gt;60,F11&lt;=90),D11,0)</f>
        <v>0</v>
      </c>
      <c r="K11" s="29" t="n">
        <f aca="false">IF(F11&gt;90,D11,0)</f>
        <v>0</v>
      </c>
      <c r="L11" s="46" t="s">
        <v>1422</v>
      </c>
    </row>
    <row r="12" customFormat="false" ht="15" hidden="false" customHeight="false" outlineLevel="0" collapsed="false">
      <c r="A12" s="15" t="s">
        <v>1430</v>
      </c>
      <c r="B12" s="15" t="s">
        <v>1428</v>
      </c>
      <c r="C12" s="15" t="s">
        <v>1429</v>
      </c>
      <c r="D12" s="107" t="n">
        <v>40000</v>
      </c>
      <c r="E12" s="119" t="n">
        <v>46279</v>
      </c>
      <c r="F12" s="120" t="n">
        <f aca="false">MAX(0,$B$4-E12)</f>
        <v>0</v>
      </c>
      <c r="G12" s="29" t="n">
        <f aca="false">IF(E12&gt;=$B$4,D12,0)</f>
        <v>40000</v>
      </c>
      <c r="H12" s="29" t="n">
        <f aca="false">IF(AND(F12&gt;=1,F12&lt;=30),D12,0)</f>
        <v>0</v>
      </c>
      <c r="I12" s="29" t="n">
        <f aca="false">IF(AND(F12&gt;30,F12&lt;=60),D12,0)</f>
        <v>0</v>
      </c>
      <c r="J12" s="29" t="n">
        <f aca="false">IF(AND(F12&gt;60,F12&lt;=90),D12,0)</f>
        <v>0</v>
      </c>
      <c r="K12" s="29" t="n">
        <f aca="false">IF(F12&gt;90,D12,0)</f>
        <v>0</v>
      </c>
      <c r="L12" s="46" t="s">
        <v>1431</v>
      </c>
    </row>
    <row r="13" customFormat="false" ht="15" hidden="false" customHeight="false" outlineLevel="0" collapsed="false">
      <c r="A13" s="15" t="s">
        <v>1432</v>
      </c>
      <c r="B13" s="15" t="s">
        <v>1428</v>
      </c>
      <c r="C13" s="15" t="s">
        <v>1429</v>
      </c>
      <c r="D13" s="107" t="n">
        <v>75000</v>
      </c>
      <c r="E13" s="119" t="n">
        <v>46294</v>
      </c>
      <c r="F13" s="120" t="n">
        <f aca="false">MAX(0,$B$4-E13)</f>
        <v>0</v>
      </c>
      <c r="G13" s="29" t="n">
        <f aca="false">IF(E13&gt;=$B$4,D13,0)</f>
        <v>75000</v>
      </c>
      <c r="H13" s="29" t="n">
        <f aca="false">IF(AND(F13&gt;=1,F13&lt;=30),D13,0)</f>
        <v>0</v>
      </c>
      <c r="I13" s="29" t="n">
        <f aca="false">IF(AND(F13&gt;30,F13&lt;=60),D13,0)</f>
        <v>0</v>
      </c>
      <c r="J13" s="29" t="n">
        <f aca="false">IF(AND(F13&gt;60,F13&lt;=90),D13,0)</f>
        <v>0</v>
      </c>
      <c r="K13" s="29" t="n">
        <f aca="false">IF(F13&gt;90,D13,0)</f>
        <v>0</v>
      </c>
      <c r="L13" s="46" t="s">
        <v>1433</v>
      </c>
    </row>
    <row r="14" customFormat="false" ht="15" hidden="false" customHeight="false" outlineLevel="0" collapsed="false">
      <c r="A14" s="15" t="s">
        <v>1434</v>
      </c>
      <c r="B14" s="15" t="s">
        <v>1435</v>
      </c>
      <c r="C14" s="15" t="s">
        <v>1429</v>
      </c>
      <c r="D14" s="107" t="n">
        <v>37500</v>
      </c>
      <c r="E14" s="119" t="n">
        <v>46310</v>
      </c>
      <c r="F14" s="120" t="n">
        <f aca="false">MAX(0,$B$4-E14)</f>
        <v>0</v>
      </c>
      <c r="G14" s="29" t="n">
        <f aca="false">IF(E14&gt;=$B$4,D14,0)</f>
        <v>37500</v>
      </c>
      <c r="H14" s="29" t="n">
        <f aca="false">IF(AND(F14&gt;=1,F14&lt;=30),D14,0)</f>
        <v>0</v>
      </c>
      <c r="I14" s="29" t="n">
        <f aca="false">IF(AND(F14&gt;30,F14&lt;=60),D14,0)</f>
        <v>0</v>
      </c>
      <c r="J14" s="29" t="n">
        <f aca="false">IF(AND(F14&gt;60,F14&lt;=90),D14,0)</f>
        <v>0</v>
      </c>
      <c r="K14" s="29" t="n">
        <f aca="false">IF(F14&gt;90,D14,0)</f>
        <v>0</v>
      </c>
      <c r="L14" s="46" t="s">
        <v>1422</v>
      </c>
    </row>
    <row r="15" customFormat="false" ht="15" hidden="false" customHeight="false" outlineLevel="0" collapsed="false">
      <c r="A15" s="15" t="s">
        <v>1436</v>
      </c>
      <c r="B15" s="15" t="s">
        <v>1435</v>
      </c>
      <c r="C15" s="15" t="s">
        <v>1429</v>
      </c>
      <c r="D15" s="107" t="n">
        <v>80000</v>
      </c>
      <c r="E15" s="119" t="n">
        <v>46325</v>
      </c>
      <c r="F15" s="120" t="n">
        <f aca="false">MAX(0,$B$4-E15)</f>
        <v>0</v>
      </c>
      <c r="G15" s="29" t="n">
        <f aca="false">IF(E15&gt;=$B$4,D15,0)</f>
        <v>80000</v>
      </c>
      <c r="H15" s="29" t="n">
        <f aca="false">IF(AND(F15&gt;=1,F15&lt;=30),D15,0)</f>
        <v>0</v>
      </c>
      <c r="I15" s="29" t="n">
        <f aca="false">IF(AND(F15&gt;30,F15&lt;=60),D15,0)</f>
        <v>0</v>
      </c>
      <c r="J15" s="29" t="n">
        <f aca="false">IF(AND(F15&gt;60,F15&lt;=90),D15,0)</f>
        <v>0</v>
      </c>
      <c r="K15" s="29" t="n">
        <f aca="false">IF(F15&gt;90,D15,0)</f>
        <v>0</v>
      </c>
      <c r="L15" s="46" t="s">
        <v>1433</v>
      </c>
    </row>
    <row r="16" customFormat="false" ht="15" hidden="false" customHeight="false" outlineLevel="0" collapsed="false">
      <c r="A16" s="15" t="s">
        <v>1437</v>
      </c>
      <c r="B16" s="15" t="s">
        <v>1435</v>
      </c>
      <c r="C16" s="15" t="s">
        <v>1429</v>
      </c>
      <c r="D16" s="107" t="n">
        <v>42500</v>
      </c>
      <c r="E16" s="119" t="n">
        <v>46325</v>
      </c>
      <c r="F16" s="120" t="n">
        <f aca="false">MAX(0,$B$4-E16)</f>
        <v>0</v>
      </c>
      <c r="G16" s="29" t="n">
        <f aca="false">IF(E16&gt;=$B$4,D16,0)</f>
        <v>42500</v>
      </c>
      <c r="H16" s="29" t="n">
        <f aca="false">IF(AND(F16&gt;=1,F16&lt;=30),D16,0)</f>
        <v>0</v>
      </c>
      <c r="I16" s="29" t="n">
        <f aca="false">IF(AND(F16&gt;30,F16&lt;=60),D16,0)</f>
        <v>0</v>
      </c>
      <c r="J16" s="29" t="n">
        <f aca="false">IF(AND(F16&gt;60,F16&lt;=90),D16,0)</f>
        <v>0</v>
      </c>
      <c r="K16" s="29" t="n">
        <f aca="false">IF(F16&gt;90,D16,0)</f>
        <v>0</v>
      </c>
      <c r="L16" s="46" t="s">
        <v>1433</v>
      </c>
    </row>
    <row r="17" customFormat="false" ht="15" hidden="false" customHeight="false" outlineLevel="0" collapsed="false">
      <c r="A17" s="81" t="s">
        <v>1438</v>
      </c>
      <c r="D17" s="82" t="n">
        <f aca="false">SUM(D7:D16)</f>
        <v>520071.21</v>
      </c>
      <c r="G17" s="82" t="n">
        <f aca="false">SUM(G7:G16)</f>
        <v>502000</v>
      </c>
      <c r="H17" s="82" t="n">
        <f aca="false">SUM(H7:H16)</f>
        <v>0</v>
      </c>
      <c r="I17" s="82" t="n">
        <f aca="false">SUM(I7:I16)</f>
        <v>18071.21</v>
      </c>
      <c r="J17" s="82" t="n">
        <f aca="false">SUM(J7:J16)</f>
        <v>0</v>
      </c>
      <c r="K17" s="82" t="n">
        <f aca="false">SUM(K7:K16)</f>
        <v>0</v>
      </c>
    </row>
    <row r="18" customFormat="false" ht="15" hidden="false" customHeight="false" outlineLevel="0" collapsed="false">
      <c r="A18" s="14" t="s">
        <v>1439</v>
      </c>
      <c r="G18" s="121" t="n">
        <f aca="false">IF($D$17=0,0,G17/$D$17)</f>
        <v>0.965252431489142</v>
      </c>
      <c r="H18" s="121" t="n">
        <f aca="false">IF($D$17=0,0,H17/$D$17)</f>
        <v>0</v>
      </c>
      <c r="I18" s="121" t="n">
        <f aca="false">IF($D$17=0,0,I17/$D$17)</f>
        <v>0.0347475685108584</v>
      </c>
      <c r="J18" s="121" t="n">
        <f aca="false">IF($D$17=0,0,J17/$D$17)</f>
        <v>0</v>
      </c>
      <c r="K18" s="121" t="n">
        <f aca="false">IF($D$17=0,0,K17/$D$17)</f>
        <v>0</v>
      </c>
    </row>
    <row r="20" customFormat="false" ht="15" hidden="false" customHeight="false" outlineLevel="0" collapsed="false">
      <c r="A20" s="5" t="s">
        <v>1440</v>
      </c>
      <c r="D20" s="29" t="n">
        <f aca="false">SUMIFS(D7:D16,C7:C16,"Enterprise, France")</f>
        <v>175071.21</v>
      </c>
      <c r="E20" s="122" t="s">
        <v>1441</v>
      </c>
      <c r="F20" s="65" t="n">
        <f aca="false">INDEX(Receivables!$E$21:$AB$21,Assumptions!$C$10)</f>
        <v>175071.208</v>
      </c>
      <c r="G20" s="122" t="s">
        <v>1442</v>
      </c>
      <c r="H20" s="36" t="n">
        <f aca="false">ROUND(D20-F20,0)</f>
        <v>0</v>
      </c>
    </row>
    <row r="21" customFormat="false" ht="15" hidden="false" customHeight="false" outlineLevel="0" collapsed="false">
      <c r="A21" s="5" t="s">
        <v>1443</v>
      </c>
      <c r="D21" s="29" t="n">
        <f aca="false">SUMIFS(D7:D16,C7:C16,"Enterprise, outside France")</f>
        <v>345000</v>
      </c>
      <c r="E21" s="122" t="s">
        <v>1441</v>
      </c>
      <c r="F21" s="65" t="n">
        <f aca="false">INDEX(Receivables!$E$27:$AB$27,Assumptions!$C$10)</f>
        <v>344999.99</v>
      </c>
      <c r="G21" s="122" t="s">
        <v>1442</v>
      </c>
      <c r="H21" s="36" t="n">
        <f aca="false">ROUND(D21-F21,0)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1444</v>
      </c>
    </row>
    <row r="3" customFormat="false" ht="15" hidden="false" customHeight="false" outlineLevel="0" collapsed="false">
      <c r="A3" s="25" t="s">
        <v>1445</v>
      </c>
    </row>
    <row r="4" customFormat="false" ht="15" hidden="false" customHeight="false" outlineLevel="0" collapsed="false">
      <c r="A4" s="0" t="s">
        <v>1403</v>
      </c>
      <c r="B4" s="118" t="n">
        <f aca="false">Assumptions!$C$15</f>
        <v>46265</v>
      </c>
    </row>
    <row r="6" customFormat="false" ht="30" hidden="false" customHeight="true" outlineLevel="0" collapsed="false">
      <c r="A6" s="26" t="s">
        <v>1404</v>
      </c>
      <c r="B6" s="27" t="s">
        <v>1405</v>
      </c>
      <c r="C6" s="27" t="s">
        <v>1406</v>
      </c>
      <c r="D6" s="27" t="s">
        <v>1407</v>
      </c>
      <c r="E6" s="27" t="s">
        <v>1408</v>
      </c>
      <c r="F6" s="27" t="s">
        <v>1409</v>
      </c>
      <c r="G6" s="27" t="s">
        <v>1410</v>
      </c>
      <c r="H6" s="27" t="s">
        <v>1411</v>
      </c>
      <c r="I6" s="27" t="s">
        <v>1412</v>
      </c>
      <c r="J6" s="27" t="s">
        <v>1413</v>
      </c>
      <c r="K6" s="27" t="s">
        <v>1414</v>
      </c>
      <c r="L6" s="27" t="s">
        <v>1415</v>
      </c>
    </row>
    <row r="7" customFormat="false" ht="15" hidden="false" customHeight="false" outlineLevel="0" collapsed="false">
      <c r="A7" s="15" t="s">
        <v>1446</v>
      </c>
      <c r="B7" s="15" t="s">
        <v>1447</v>
      </c>
      <c r="C7" s="15" t="s">
        <v>1448</v>
      </c>
      <c r="D7" s="107" t="n">
        <v>50175.03</v>
      </c>
      <c r="E7" s="119" t="n">
        <v>46280</v>
      </c>
      <c r="F7" s="120" t="n">
        <f aca="false">MAX(0,$B$4-E7)</f>
        <v>0</v>
      </c>
      <c r="G7" s="29" t="n">
        <f aca="false">IF(E7&gt;=$B$4,D7,0)</f>
        <v>50175.03</v>
      </c>
      <c r="H7" s="29" t="n">
        <f aca="false">IF(AND(F7&gt;=1,F7&lt;=30),D7,0)</f>
        <v>0</v>
      </c>
      <c r="I7" s="29" t="n">
        <f aca="false">IF(AND(F7&gt;30,F7&lt;=60),D7,0)</f>
        <v>0</v>
      </c>
      <c r="J7" s="29" t="n">
        <f aca="false">IF(AND(F7&gt;60,F7&lt;=90),D7,0)</f>
        <v>0</v>
      </c>
      <c r="K7" s="29" t="n">
        <f aca="false">IF(F7&gt;90,D7,0)</f>
        <v>0</v>
      </c>
      <c r="L7" s="46" t="s">
        <v>1449</v>
      </c>
    </row>
    <row r="8" customFormat="false" ht="15" hidden="false" customHeight="false" outlineLevel="0" collapsed="false">
      <c r="A8" s="15" t="s">
        <v>564</v>
      </c>
      <c r="B8" s="15" t="s">
        <v>1450</v>
      </c>
      <c r="C8" s="15" t="s">
        <v>1448</v>
      </c>
      <c r="D8" s="107" t="n">
        <v>93729.4</v>
      </c>
      <c r="E8" s="119" t="n">
        <v>46280</v>
      </c>
      <c r="F8" s="120" t="n">
        <f aca="false">MAX(0,$B$4-E8)</f>
        <v>0</v>
      </c>
      <c r="G8" s="29" t="n">
        <f aca="false">IF(E8&gt;=$B$4,D8,0)</f>
        <v>93729.4</v>
      </c>
      <c r="H8" s="29" t="n">
        <f aca="false">IF(AND(F8&gt;=1,F8&lt;=30),D8,0)</f>
        <v>0</v>
      </c>
      <c r="I8" s="29" t="n">
        <f aca="false">IF(AND(F8&gt;30,F8&lt;=60),D8,0)</f>
        <v>0</v>
      </c>
      <c r="J8" s="29" t="n">
        <f aca="false">IF(AND(F8&gt;60,F8&lt;=90),D8,0)</f>
        <v>0</v>
      </c>
      <c r="K8" s="29" t="n">
        <f aca="false">IF(F8&gt;90,D8,0)</f>
        <v>0</v>
      </c>
      <c r="L8" s="46" t="s">
        <v>1451</v>
      </c>
    </row>
    <row r="9" customFormat="false" ht="15" hidden="false" customHeight="false" outlineLevel="0" collapsed="false">
      <c r="A9" s="15" t="s">
        <v>565</v>
      </c>
      <c r="B9" s="15" t="s">
        <v>1452</v>
      </c>
      <c r="C9" s="15" t="s">
        <v>1016</v>
      </c>
      <c r="D9" s="107" t="n">
        <v>9871.04</v>
      </c>
      <c r="E9" s="119" t="n">
        <v>46280</v>
      </c>
      <c r="F9" s="120" t="n">
        <f aca="false">MAX(0,$B$4-E9)</f>
        <v>0</v>
      </c>
      <c r="G9" s="29" t="n">
        <f aca="false">IF(E9&gt;=$B$4,D9,0)</f>
        <v>9871.04</v>
      </c>
      <c r="H9" s="29" t="n">
        <f aca="false">IF(AND(F9&gt;=1,F9&lt;=30),D9,0)</f>
        <v>0</v>
      </c>
      <c r="I9" s="29" t="n">
        <f aca="false">IF(AND(F9&gt;30,F9&lt;=60),D9,0)</f>
        <v>0</v>
      </c>
      <c r="J9" s="29" t="n">
        <f aca="false">IF(AND(F9&gt;60,F9&lt;=90),D9,0)</f>
        <v>0</v>
      </c>
      <c r="K9" s="29" t="n">
        <f aca="false">IF(F9&gt;90,D9,0)</f>
        <v>0</v>
      </c>
      <c r="L9" s="46" t="s">
        <v>1453</v>
      </c>
    </row>
    <row r="10" customFormat="false" ht="15" hidden="false" customHeight="false" outlineLevel="0" collapsed="false">
      <c r="A10" s="15" t="s">
        <v>1454</v>
      </c>
      <c r="B10" s="15" t="s">
        <v>1455</v>
      </c>
      <c r="C10" s="15" t="s">
        <v>1456</v>
      </c>
      <c r="D10" s="107" t="n">
        <v>60109.26</v>
      </c>
      <c r="E10" s="119" t="n">
        <v>46270</v>
      </c>
      <c r="F10" s="120" t="n">
        <f aca="false">MAX(0,$B$4-E10)</f>
        <v>0</v>
      </c>
      <c r="G10" s="29" t="n">
        <f aca="false">IF(E10&gt;=$B$4,D10,0)</f>
        <v>60109.26</v>
      </c>
      <c r="H10" s="29" t="n">
        <f aca="false">IF(AND(F10&gt;=1,F10&lt;=30),D10,0)</f>
        <v>0</v>
      </c>
      <c r="I10" s="29" t="n">
        <f aca="false">IF(AND(F10&gt;30,F10&lt;=60),D10,0)</f>
        <v>0</v>
      </c>
      <c r="J10" s="29" t="n">
        <f aca="false">IF(AND(F10&gt;60,F10&lt;=90),D10,0)</f>
        <v>0</v>
      </c>
      <c r="K10" s="29" t="n">
        <f aca="false">IF(F10&gt;90,D10,0)</f>
        <v>0</v>
      </c>
      <c r="L10" s="46" t="s">
        <v>1457</v>
      </c>
    </row>
    <row r="11" customFormat="false" ht="15" hidden="false" customHeight="false" outlineLevel="0" collapsed="false">
      <c r="A11" s="15" t="s">
        <v>1458</v>
      </c>
      <c r="B11" s="15" t="s">
        <v>1459</v>
      </c>
      <c r="C11" s="15" t="s">
        <v>1460</v>
      </c>
      <c r="D11" s="107" t="n">
        <v>15751.99</v>
      </c>
      <c r="E11" s="119" t="n">
        <v>46295</v>
      </c>
      <c r="F11" s="120" t="n">
        <f aca="false">MAX(0,$B$4-E11)</f>
        <v>0</v>
      </c>
      <c r="G11" s="29" t="n">
        <f aca="false">IF(E11&gt;=$B$4,D11,0)</f>
        <v>15751.99</v>
      </c>
      <c r="H11" s="29" t="n">
        <f aca="false">IF(AND(F11&gt;=1,F11&lt;=30),D11,0)</f>
        <v>0</v>
      </c>
      <c r="I11" s="29" t="n">
        <f aca="false">IF(AND(F11&gt;30,F11&lt;=60),D11,0)</f>
        <v>0</v>
      </c>
      <c r="J11" s="29" t="n">
        <f aca="false">IF(AND(F11&gt;60,F11&lt;=90),D11,0)</f>
        <v>0</v>
      </c>
      <c r="K11" s="29" t="n">
        <f aca="false">IF(F11&gt;90,D11,0)</f>
        <v>0</v>
      </c>
      <c r="L11" s="46" t="s">
        <v>1461</v>
      </c>
    </row>
    <row r="12" customFormat="false" ht="15" hidden="false" customHeight="false" outlineLevel="0" collapsed="false">
      <c r="A12" s="15" t="s">
        <v>1462</v>
      </c>
      <c r="B12" s="15" t="s">
        <v>1463</v>
      </c>
      <c r="C12" s="15" t="s">
        <v>1460</v>
      </c>
      <c r="D12" s="107" t="n">
        <v>19053.98</v>
      </c>
      <c r="E12" s="119" t="n">
        <v>46295</v>
      </c>
      <c r="F12" s="120" t="n">
        <f aca="false">MAX(0,$B$4-E12)</f>
        <v>0</v>
      </c>
      <c r="G12" s="29" t="n">
        <f aca="false">IF(E12&gt;=$B$4,D12,0)</f>
        <v>19053.98</v>
      </c>
      <c r="H12" s="29" t="n">
        <f aca="false">IF(AND(F12&gt;=1,F12&lt;=30),D12,0)</f>
        <v>0</v>
      </c>
      <c r="I12" s="29" t="n">
        <f aca="false">IF(AND(F12&gt;30,F12&lt;=60),D12,0)</f>
        <v>0</v>
      </c>
      <c r="J12" s="29" t="n">
        <f aca="false">IF(AND(F12&gt;60,F12&lt;=90),D12,0)</f>
        <v>0</v>
      </c>
      <c r="K12" s="29" t="n">
        <f aca="false">IF(F12&gt;90,D12,0)</f>
        <v>0</v>
      </c>
      <c r="L12" s="46" t="s">
        <v>1461</v>
      </c>
    </row>
    <row r="13" customFormat="false" ht="15" hidden="false" customHeight="false" outlineLevel="0" collapsed="false">
      <c r="A13" s="15" t="s">
        <v>1464</v>
      </c>
      <c r="B13" s="15" t="s">
        <v>1465</v>
      </c>
      <c r="C13" s="15" t="s">
        <v>1460</v>
      </c>
      <c r="D13" s="107" t="n">
        <v>1200</v>
      </c>
      <c r="E13" s="119" t="n">
        <v>46295</v>
      </c>
      <c r="F13" s="120" t="n">
        <f aca="false">MAX(0,$B$4-E13)</f>
        <v>0</v>
      </c>
      <c r="G13" s="29" t="n">
        <f aca="false">IF(E13&gt;=$B$4,D13,0)</f>
        <v>1200</v>
      </c>
      <c r="H13" s="29" t="n">
        <f aca="false">IF(AND(F13&gt;=1,F13&lt;=30),D13,0)</f>
        <v>0</v>
      </c>
      <c r="I13" s="29" t="n">
        <f aca="false">IF(AND(F13&gt;30,F13&lt;=60),D13,0)</f>
        <v>0</v>
      </c>
      <c r="J13" s="29" t="n">
        <f aca="false">IF(AND(F13&gt;60,F13&lt;=90),D13,0)</f>
        <v>0</v>
      </c>
      <c r="K13" s="29" t="n">
        <f aca="false">IF(F13&gt;90,D13,0)</f>
        <v>0</v>
      </c>
      <c r="L13" s="46" t="s">
        <v>1461</v>
      </c>
    </row>
    <row r="14" customFormat="false" ht="15" hidden="false" customHeight="false" outlineLevel="0" collapsed="false">
      <c r="A14" s="15" t="s">
        <v>1466</v>
      </c>
      <c r="B14" s="15" t="s">
        <v>1467</v>
      </c>
      <c r="C14" s="15" t="s">
        <v>1460</v>
      </c>
      <c r="D14" s="107" t="n">
        <v>2622.01</v>
      </c>
      <c r="E14" s="119" t="n">
        <v>46295</v>
      </c>
      <c r="F14" s="120" t="n">
        <f aca="false">MAX(0,$B$4-E14)</f>
        <v>0</v>
      </c>
      <c r="G14" s="29" t="n">
        <f aca="false">IF(E14&gt;=$B$4,D14,0)</f>
        <v>2622.01</v>
      </c>
      <c r="H14" s="29" t="n">
        <f aca="false">IF(AND(F14&gt;=1,F14&lt;=30),D14,0)</f>
        <v>0</v>
      </c>
      <c r="I14" s="29" t="n">
        <f aca="false">IF(AND(F14&gt;30,F14&lt;=60),D14,0)</f>
        <v>0</v>
      </c>
      <c r="J14" s="29" t="n">
        <f aca="false">IF(AND(F14&gt;60,F14&lt;=90),D14,0)</f>
        <v>0</v>
      </c>
      <c r="K14" s="29" t="n">
        <f aca="false">IF(F14&gt;90,D14,0)</f>
        <v>0</v>
      </c>
      <c r="L14" s="46" t="s">
        <v>1461</v>
      </c>
    </row>
    <row r="15" customFormat="false" ht="15" hidden="false" customHeight="false" outlineLevel="0" collapsed="false">
      <c r="A15" s="81" t="s">
        <v>1438</v>
      </c>
      <c r="D15" s="82" t="n">
        <f aca="false">SUM(D7:D14)</f>
        <v>252512.71</v>
      </c>
      <c r="G15" s="82" t="n">
        <f aca="false">SUM(G7:G14)</f>
        <v>252512.71</v>
      </c>
      <c r="H15" s="82" t="n">
        <f aca="false">SUM(H7:H14)</f>
        <v>0</v>
      </c>
      <c r="I15" s="82" t="n">
        <f aca="false">SUM(I7:I14)</f>
        <v>0</v>
      </c>
      <c r="J15" s="82" t="n">
        <f aca="false">SUM(J7:J14)</f>
        <v>0</v>
      </c>
      <c r="K15" s="82" t="n">
        <f aca="false">SUM(K7:K14)</f>
        <v>0</v>
      </c>
    </row>
    <row r="16" customFormat="false" ht="15" hidden="false" customHeight="false" outlineLevel="0" collapsed="false">
      <c r="A16" s="14" t="s">
        <v>1439</v>
      </c>
      <c r="G16" s="121" t="n">
        <f aca="false">IF($D$15=0,0,G15/$D$15)</f>
        <v>1</v>
      </c>
      <c r="H16" s="121" t="n">
        <f aca="false">IF($D$15=0,0,H15/$D$15)</f>
        <v>0</v>
      </c>
      <c r="I16" s="121" t="n">
        <f aca="false">IF($D$15=0,0,I15/$D$15)</f>
        <v>0</v>
      </c>
      <c r="J16" s="121" t="n">
        <f aca="false">IF($D$15=0,0,J15/$D$15)</f>
        <v>0</v>
      </c>
      <c r="K16" s="121" t="n">
        <f aca="false">IF($D$15=0,0,K15/$D$15)</f>
        <v>0</v>
      </c>
    </row>
    <row r="18" customFormat="false" ht="15" hidden="false" customHeight="false" outlineLevel="0" collapsed="false">
      <c r="A18" s="5" t="s">
        <v>1468</v>
      </c>
      <c r="D18" s="29" t="n">
        <f aca="false">SUMIFS(D7:D14,C7:C14,"Compute suppliers (USD)")</f>
        <v>143904.43</v>
      </c>
      <c r="E18" s="122" t="s">
        <v>1441</v>
      </c>
      <c r="F18" s="65" t="n">
        <f aca="false">INDEX(Payables!$E$13:$AB$13,Assumptions!$C$10)</f>
        <v>143904.425084102</v>
      </c>
      <c r="G18" s="122" t="s">
        <v>1442</v>
      </c>
      <c r="H18" s="36" t="n">
        <f aca="false">ROUND(D18-F18,0)</f>
        <v>0</v>
      </c>
    </row>
    <row r="19" customFormat="false" ht="15" hidden="false" customHeight="false" outlineLevel="0" collapsed="false">
      <c r="A19" s="5" t="s">
        <v>1469</v>
      </c>
      <c r="D19" s="29" t="n">
        <f aca="false">SUMIFS(D7:D14,C7:C14,"Model API vendor C (EUR)")</f>
        <v>9871.04</v>
      </c>
      <c r="E19" s="122" t="s">
        <v>1441</v>
      </c>
      <c r="F19" s="65" t="n">
        <f aca="false">INDEX(Payables!$E$18:$AB$18,Assumptions!$C$10)</f>
        <v>9871.04</v>
      </c>
      <c r="G19" s="122" t="s">
        <v>1442</v>
      </c>
      <c r="H19" s="36" t="n">
        <f aca="false">ROUND(D19-F19,0)</f>
        <v>0</v>
      </c>
    </row>
    <row r="20" customFormat="false" ht="15" hidden="false" customHeight="false" outlineLevel="0" collapsed="false">
      <c r="A20" s="5" t="s">
        <v>1470</v>
      </c>
      <c r="D20" s="29" t="n">
        <f aca="false">SUMIFS(D7:D14,C7:C14,"Card suppliers")</f>
        <v>60109.26</v>
      </c>
      <c r="E20" s="122" t="s">
        <v>1441</v>
      </c>
      <c r="F20" s="65" t="n">
        <f aca="false">INDEX(Payables!$E$22:$AB$22,Assumptions!$C$10)</f>
        <v>60109.26</v>
      </c>
      <c r="G20" s="122" t="s">
        <v>1442</v>
      </c>
      <c r="H20" s="36" t="n">
        <f aca="false">ROUND(D20-F20,0)</f>
        <v>0</v>
      </c>
    </row>
    <row r="21" customFormat="false" ht="15" hidden="false" customHeight="false" outlineLevel="0" collapsed="false">
      <c r="A21" s="5" t="s">
        <v>1471</v>
      </c>
      <c r="D21" s="29" t="n">
        <f aca="false">SUMIFS(D7:D14,C7:C14,"French suppliers")</f>
        <v>38627.98</v>
      </c>
      <c r="E21" s="122" t="s">
        <v>1441</v>
      </c>
      <c r="F21" s="65" t="n">
        <f aca="false">INDEX(Payables!$E$26:$AB$26,Assumptions!$C$10)</f>
        <v>38627.986</v>
      </c>
      <c r="G21" s="122" t="s">
        <v>1442</v>
      </c>
      <c r="H21" s="36" t="n">
        <f aca="false">ROUND(D21-F21,0)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1472</v>
      </c>
    </row>
    <row r="3" customFormat="false" ht="15" hidden="false" customHeight="false" outlineLevel="0" collapsed="false">
      <c r="A3" s="49" t="s">
        <v>1473</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1474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1475</v>
      </c>
      <c r="B9" s="62" t="s">
        <v>1476</v>
      </c>
      <c r="C9" s="64" t="n">
        <f aca="false">SUM(E9:P9)</f>
        <v>1931162.36264651</v>
      </c>
      <c r="D9" s="64" t="n">
        <f aca="false">SUM(Q9:AB9)</f>
        <v>2180933.99276555</v>
      </c>
      <c r="E9" s="65" t="n">
        <f aca="false">Usage_Compute!E36+Commitments!E15</f>
        <v>145802.11</v>
      </c>
      <c r="F9" s="65" t="n">
        <f aca="false">Usage_Compute!F36+Commitments!F15</f>
        <v>145483.75</v>
      </c>
      <c r="G9" s="65" t="n">
        <f aca="false">Usage_Compute!G36+Commitments!G15</f>
        <v>145196.31</v>
      </c>
      <c r="H9" s="65" t="n">
        <f aca="false">Usage_Compute!H36+Commitments!H15</f>
        <v>144436.68</v>
      </c>
      <c r="I9" s="65" t="n">
        <f aca="false">Usage_Compute!I36+Commitments!I15</f>
        <v>153283.69</v>
      </c>
      <c r="J9" s="65" t="n">
        <f aca="false">Usage_Compute!J36+Commitments!J15</f>
        <v>153666.63</v>
      </c>
      <c r="K9" s="65" t="n">
        <f aca="false">Usage_Compute!K36+Commitments!K15</f>
        <v>164910.63</v>
      </c>
      <c r="L9" s="65" t="n">
        <f aca="false">Usage_Compute!L36+Commitments!L15</f>
        <v>166828.4</v>
      </c>
      <c r="M9" s="65" t="n">
        <f aca="false">Usage_Compute!M36+Commitments!M15</f>
        <v>165602.954756609</v>
      </c>
      <c r="N9" s="65" t="n">
        <f aca="false">Usage_Compute!N36+Commitments!N15</f>
        <v>140874.068436312</v>
      </c>
      <c r="O9" s="65" t="n">
        <f aca="false">Usage_Compute!O36+Commitments!O15</f>
        <v>143917.797653868</v>
      </c>
      <c r="P9" s="65" t="n">
        <f aca="false">Usage_Compute!P36+Commitments!P15</f>
        <v>261159.341799719</v>
      </c>
      <c r="Q9" s="65" t="n">
        <f aca="false">Usage_Compute!Q36+Commitments!Q15</f>
        <v>168060.553953021</v>
      </c>
      <c r="R9" s="65" t="n">
        <f aca="false">Usage_Compute!R36+Commitments!R15</f>
        <v>168583.555048818</v>
      </c>
      <c r="S9" s="65" t="n">
        <f aca="false">Usage_Compute!S36+Commitments!S15</f>
        <v>175487.578739862</v>
      </c>
      <c r="T9" s="65" t="n">
        <f aca="false">Usage_Compute!T36+Commitments!T15</f>
        <v>175629.969637729</v>
      </c>
      <c r="U9" s="65" t="n">
        <f aca="false">Usage_Compute!U36+Commitments!U15</f>
        <v>180562.933479817</v>
      </c>
      <c r="V9" s="65" t="n">
        <f aca="false">Usage_Compute!V36+Commitments!V15</f>
        <v>181126.014741614</v>
      </c>
      <c r="W9" s="65" t="n">
        <f aca="false">Usage_Compute!W36+Commitments!W15</f>
        <v>183372.349314512</v>
      </c>
      <c r="X9" s="65" t="n">
        <f aca="false">Usage_Compute!X36+Commitments!X15</f>
        <v>184720.568534525</v>
      </c>
      <c r="Y9" s="65" t="n">
        <f aca="false">Usage_Compute!Y36+Commitments!Y15</f>
        <v>186432.408948702</v>
      </c>
      <c r="Z9" s="65" t="n">
        <f aca="false">Usage_Compute!Z36+Commitments!Z15</f>
        <v>190126.166301228</v>
      </c>
      <c r="AA9" s="65" t="n">
        <f aca="false">Usage_Compute!AA36+Commitments!AA15</f>
        <v>191640.411729455</v>
      </c>
      <c r="AB9" s="65" t="n">
        <f aca="false">Usage_Compute!AB36+Commitments!AB15</f>
        <v>195191.482336269</v>
      </c>
    </row>
    <row r="10" customFormat="false" ht="15" hidden="false" customHeight="false" outlineLevel="0" collapsed="false">
      <c r="A10" s="28" t="s">
        <v>1477</v>
      </c>
      <c r="B10" s="62"/>
      <c r="C10" s="64" t="n">
        <f aca="false">SUM(E10:P10)</f>
        <v>1670125.34908492</v>
      </c>
      <c r="D10" s="64" t="n">
        <f aca="false">SUM(Q10:AB10)</f>
        <v>1902585.70423585</v>
      </c>
      <c r="E10" s="65" t="n">
        <f aca="false">E9/Assumptions!E$216</f>
        <v>124224.341824998</v>
      </c>
      <c r="F10" s="65" t="n">
        <f aca="false">F9/Assumptions!F$216</f>
        <v>123051.467478643</v>
      </c>
      <c r="G10" s="65" t="n">
        <f aca="false">G9/Assumptions!G$216</f>
        <v>125624.078560305</v>
      </c>
      <c r="H10" s="65" t="n">
        <f aca="false">H9/Assumptions!H$216</f>
        <v>123397.419906023</v>
      </c>
      <c r="I10" s="65" t="n">
        <f aca="false">I9/Assumptions!I$216</f>
        <v>131314.73485822</v>
      </c>
      <c r="J10" s="65" t="n">
        <f aca="false">J9/Assumptions!J$216</f>
        <v>133425.918207867</v>
      </c>
      <c r="K10" s="65" t="n">
        <f aca="false">K9/Assumptions!K$216</f>
        <v>144443.049837961</v>
      </c>
      <c r="L10" s="65" t="n">
        <f aca="false">L9/Assumptions!L$216</f>
        <v>143904.425084103</v>
      </c>
      <c r="M10" s="65" t="n">
        <f aca="false">M9/Assumptions!M$216</f>
        <v>144467.377437502</v>
      </c>
      <c r="N10" s="65" t="n">
        <f aca="false">N9/Assumptions!N$216</f>
        <v>122894.58992961</v>
      </c>
      <c r="O10" s="65" t="n">
        <f aca="false">O9/Assumptions!O$216</f>
        <v>125549.854011923</v>
      </c>
      <c r="P10" s="65" t="n">
        <f aca="false">P9/Assumptions!P$216</f>
        <v>227828.091947761</v>
      </c>
      <c r="Q10" s="65" t="n">
        <f aca="false">Q9/Assumptions!Q$216</f>
        <v>146611.318113077</v>
      </c>
      <c r="R10" s="65" t="n">
        <f aca="false">R9/Assumptions!R$216</f>
        <v>147067.569614253</v>
      </c>
      <c r="S10" s="65" t="n">
        <f aca="false">S9/Assumptions!S$216</f>
        <v>153090.446427517</v>
      </c>
      <c r="T10" s="65" t="n">
        <f aca="false">T9/Assumptions!T$216</f>
        <v>153214.664256939</v>
      </c>
      <c r="U10" s="65" t="n">
        <f aca="false">U9/Assumptions!U$216</f>
        <v>157518.043688229</v>
      </c>
      <c r="V10" s="65" t="n">
        <f aca="false">V9/Assumptions!V$216</f>
        <v>158009.260003152</v>
      </c>
      <c r="W10" s="65" t="n">
        <f aca="false">W9/Assumptions!W$216</f>
        <v>159968.899340933</v>
      </c>
      <c r="X10" s="65" t="n">
        <f aca="false">X9/Assumptions!X$216</f>
        <v>161145.048010578</v>
      </c>
      <c r="Y10" s="65" t="n">
        <f aca="false">Y9/Assumptions!Y$216</f>
        <v>162638.40962113</v>
      </c>
      <c r="Z10" s="65" t="n">
        <f aca="false">Z9/Assumptions!Z$216</f>
        <v>165860.740034221</v>
      </c>
      <c r="AA10" s="65" t="n">
        <f aca="false">AA9/Assumptions!AA$216</f>
        <v>167181.725315759</v>
      </c>
      <c r="AB10" s="65" t="n">
        <f aca="false">AB9/Assumptions!AB$216</f>
        <v>170279.579810058</v>
      </c>
    </row>
    <row r="11" customFormat="false" ht="15" hidden="false" customHeight="false" outlineLevel="0" collapsed="false">
      <c r="A11" s="28" t="s">
        <v>1478</v>
      </c>
      <c r="B11" s="62" t="s">
        <v>1479</v>
      </c>
      <c r="C11" s="64" t="n">
        <f aca="false">SUM(E11:P11)</f>
        <v>1552908.20290918</v>
      </c>
      <c r="D11" s="64" t="n">
        <f aca="false">SUM(Q11:AB11)</f>
        <v>1960134.21637355</v>
      </c>
      <c r="E11" s="65" t="n">
        <f aca="false">IF(E$5="A",Inputs_Actuals!E162,Inputs_Actuals!$C$205/Assumptions!E$216)</f>
        <v>107546.17</v>
      </c>
      <c r="F11" s="65" t="n">
        <f aca="false">IF(F$5="A",Inputs_Actuals!F162,E9/Assumptions!F$216)</f>
        <v>123320.74</v>
      </c>
      <c r="G11" s="65" t="n">
        <f aca="false">IF(G$5="A",Inputs_Actuals!G162,F9/Assumptions!G$216)</f>
        <v>125872.77</v>
      </c>
      <c r="H11" s="65" t="n">
        <f aca="false">IF(H$5="A",Inputs_Actuals!H162,G9/Assumptions!H$216)</f>
        <v>124046.4</v>
      </c>
      <c r="I11" s="65" t="n">
        <f aca="false">IF(I$5="A",Inputs_Actuals!I162,H9/Assumptions!I$216)</f>
        <v>123735.7</v>
      </c>
      <c r="J11" s="65" t="n">
        <f aca="false">IF(J$5="A",Inputs_Actuals!J162,I9/Assumptions!J$216)</f>
        <v>133093.42</v>
      </c>
      <c r="K11" s="65" t="n">
        <f aca="false">IF(K$5="A",Inputs_Actuals!K162,J9/Assumptions!K$216)</f>
        <v>134594.58</v>
      </c>
      <c r="L11" s="65" t="n">
        <f aca="false">IF(L$5="A",Inputs_Actuals!L162,K9/Assumptions!L$216)</f>
        <v>142250.18</v>
      </c>
      <c r="M11" s="65" t="n">
        <f aca="false">IF(M$5="A",Inputs_Actuals!M162,L9/Assumptions!M$216)</f>
        <v>145536.42153014</v>
      </c>
      <c r="N11" s="65" t="n">
        <f aca="false">IF(N$5="A",Inputs_Actuals!N162,M9/Assumptions!N$216)</f>
        <v>144467.377437502</v>
      </c>
      <c r="O11" s="65" t="n">
        <f aca="false">IF(O$5="A",Inputs_Actuals!O162,N9/Assumptions!O$216)</f>
        <v>122894.58992961</v>
      </c>
      <c r="P11" s="65" t="n">
        <f aca="false">IF(P$5="A",Inputs_Actuals!P162,O9/Assumptions!P$216)</f>
        <v>125549.854011923</v>
      </c>
      <c r="Q11" s="65" t="n">
        <f aca="false">IF(Q$5="A",Inputs_Actuals!Q162,P9/Assumptions!Q$216)</f>
        <v>227828.091947761</v>
      </c>
      <c r="R11" s="65" t="n">
        <f aca="false">IF(R$5="A",Inputs_Actuals!R162,Q9/Assumptions!R$216)</f>
        <v>146611.318113077</v>
      </c>
      <c r="S11" s="65" t="n">
        <f aca="false">IF(S$5="A",Inputs_Actuals!S162,R9/Assumptions!S$216)</f>
        <v>147067.569614253</v>
      </c>
      <c r="T11" s="65" t="n">
        <f aca="false">IF(T$5="A",Inputs_Actuals!T162,S9/Assumptions!T$216)</f>
        <v>153090.446427517</v>
      </c>
      <c r="U11" s="65" t="n">
        <f aca="false">IF(U$5="A",Inputs_Actuals!U162,T9/Assumptions!U$216)</f>
        <v>153214.664256939</v>
      </c>
      <c r="V11" s="65" t="n">
        <f aca="false">IF(V$5="A",Inputs_Actuals!V162,U9/Assumptions!V$216)</f>
        <v>157518.043688229</v>
      </c>
      <c r="W11" s="65" t="n">
        <f aca="false">IF(W$5="A",Inputs_Actuals!W162,V9/Assumptions!W$216)</f>
        <v>158009.260003152</v>
      </c>
      <c r="X11" s="65" t="n">
        <f aca="false">IF(X$5="A",Inputs_Actuals!X162,W9/Assumptions!X$216)</f>
        <v>159968.899340933</v>
      </c>
      <c r="Y11" s="65" t="n">
        <f aca="false">IF(Y$5="A",Inputs_Actuals!Y162,X9/Assumptions!Y$216)</f>
        <v>161145.048010578</v>
      </c>
      <c r="Z11" s="65" t="n">
        <f aca="false">IF(Z$5="A",Inputs_Actuals!Z162,Y9/Assumptions!Z$216)</f>
        <v>162638.40962113</v>
      </c>
      <c r="AA11" s="65" t="n">
        <f aca="false">IF(AA$5="A",Inputs_Actuals!AA162,Z9/Assumptions!AA$216)</f>
        <v>165860.740034221</v>
      </c>
      <c r="AB11" s="65" t="n">
        <f aca="false">IF(AB$5="A",Inputs_Actuals!AB162,AA9/Assumptions!AB$216)</f>
        <v>167181.725315759</v>
      </c>
    </row>
    <row r="12" customFormat="false" ht="15" hidden="false" customHeight="false" outlineLevel="0" collapsed="false">
      <c r="A12" s="28" t="s">
        <v>1480</v>
      </c>
      <c r="B12" s="62" t="s">
        <v>1481</v>
      </c>
      <c r="C12" s="64" t="n">
        <f aca="false">SUM(E12:P12)</f>
        <v>-2798.38577202175</v>
      </c>
      <c r="D12" s="64" t="n">
        <f aca="false">SUM(Q12:AB12)</f>
        <v>0</v>
      </c>
      <c r="E12" s="65" t="n">
        <f aca="false">Inputs_Actuals!$C$186-E11</f>
        <v>266.389999999999</v>
      </c>
      <c r="F12" s="73" t="n">
        <f aca="false">E13-F11</f>
        <v>903.601824997881</v>
      </c>
      <c r="G12" s="73" t="n">
        <f aca="false">F13-G11</f>
        <v>-2821.30252135669</v>
      </c>
      <c r="H12" s="73" t="n">
        <f aca="false">G13-H11</f>
        <v>1577.67856030457</v>
      </c>
      <c r="I12" s="73" t="n">
        <f aca="false">H13-I11</f>
        <v>-338.280093976951</v>
      </c>
      <c r="J12" s="73" t="n">
        <f aca="false">I13-J11</f>
        <v>-1778.68514178018</v>
      </c>
      <c r="K12" s="73" t="n">
        <f aca="false">J13-K11</f>
        <v>-1168.66179213335</v>
      </c>
      <c r="L12" s="73" t="n">
        <f aca="false">K13-L11</f>
        <v>2192.86983796096</v>
      </c>
      <c r="M12" s="73" t="n">
        <f aca="false">L13-M11</f>
        <v>-1631.99644603799</v>
      </c>
      <c r="N12" s="73" t="n">
        <f aca="false">M13-N11</f>
        <v>0</v>
      </c>
      <c r="O12" s="73" t="n">
        <f aca="false">N13-O11</f>
        <v>0</v>
      </c>
      <c r="P12" s="73" t="n">
        <f aca="false">O13-P11</f>
        <v>0</v>
      </c>
      <c r="Q12" s="73" t="n">
        <f aca="false">P13-Q11</f>
        <v>0</v>
      </c>
      <c r="R12" s="73" t="n">
        <f aca="false">Q13-R11</f>
        <v>0</v>
      </c>
      <c r="S12" s="73" t="n">
        <f aca="false">R13-S11</f>
        <v>0</v>
      </c>
      <c r="T12" s="73" t="n">
        <f aca="false">S13-T11</f>
        <v>0</v>
      </c>
      <c r="U12" s="73" t="n">
        <f aca="false">T13-U11</f>
        <v>0</v>
      </c>
      <c r="V12" s="73" t="n">
        <f aca="false">U13-V11</f>
        <v>0</v>
      </c>
      <c r="W12" s="73" t="n">
        <f aca="false">V13-W11</f>
        <v>0</v>
      </c>
      <c r="X12" s="73" t="n">
        <f aca="false">W13-X11</f>
        <v>0</v>
      </c>
      <c r="Y12" s="73" t="n">
        <f aca="false">X13-Y11</f>
        <v>0</v>
      </c>
      <c r="Z12" s="73" t="n">
        <f aca="false">Y13-Z11</f>
        <v>0</v>
      </c>
      <c r="AA12" s="73" t="n">
        <f aca="false">Z13-AA11</f>
        <v>0</v>
      </c>
      <c r="AB12" s="73" t="n">
        <f aca="false">AA13-AB11</f>
        <v>0</v>
      </c>
    </row>
    <row r="13" customFormat="false" ht="15" hidden="false" customHeight="false" outlineLevel="0" collapsed="false">
      <c r="A13" s="58" t="s">
        <v>1482</v>
      </c>
      <c r="B13" s="59"/>
      <c r="C13" s="60" t="n">
        <f aca="false">P13</f>
        <v>227828.091947761</v>
      </c>
      <c r="D13" s="60" t="n">
        <f aca="false">AB13</f>
        <v>170279.579810058</v>
      </c>
      <c r="E13" s="61" t="n">
        <f aca="false">Inputs_Actuals!$C$186+E10-E11-E12</f>
        <v>124224.341824998</v>
      </c>
      <c r="F13" s="60" t="n">
        <f aca="false">E13+F10-F11-F12</f>
        <v>123051.467478643</v>
      </c>
      <c r="G13" s="60" t="n">
        <f aca="false">F13+G10-G11-G12</f>
        <v>125624.078560305</v>
      </c>
      <c r="H13" s="60" t="n">
        <f aca="false">G13+H10-H11-H12</f>
        <v>123397.419906023</v>
      </c>
      <c r="I13" s="60" t="n">
        <f aca="false">H13+I10-I11-I12</f>
        <v>131314.73485822</v>
      </c>
      <c r="J13" s="60" t="n">
        <f aca="false">I13+J10-J11-J12</f>
        <v>133425.918207867</v>
      </c>
      <c r="K13" s="60" t="n">
        <f aca="false">J13+K10-K11-K12</f>
        <v>144443.049837961</v>
      </c>
      <c r="L13" s="60" t="n">
        <f aca="false">K13+L10-L11-L12</f>
        <v>143904.425084102</v>
      </c>
      <c r="M13" s="60" t="n">
        <f aca="false">L13+M10-M11-M12</f>
        <v>144467.377437502</v>
      </c>
      <c r="N13" s="60" t="n">
        <f aca="false">M13+N10-N11-N12</f>
        <v>122894.58992961</v>
      </c>
      <c r="O13" s="60" t="n">
        <f aca="false">N13+O10-O11-O12</f>
        <v>125549.854011923</v>
      </c>
      <c r="P13" s="60" t="n">
        <f aca="false">O13+P10-P11-P12</f>
        <v>227828.091947761</v>
      </c>
      <c r="Q13" s="60" t="n">
        <f aca="false">P13+Q10-Q11-Q12</f>
        <v>146611.318113077</v>
      </c>
      <c r="R13" s="60" t="n">
        <f aca="false">Q13+R10-R11-R12</f>
        <v>147067.569614253</v>
      </c>
      <c r="S13" s="60" t="n">
        <f aca="false">R13+S10-S11-S12</f>
        <v>153090.446427517</v>
      </c>
      <c r="T13" s="60" t="n">
        <f aca="false">S13+T10-T11-T12</f>
        <v>153214.664256939</v>
      </c>
      <c r="U13" s="60" t="n">
        <f aca="false">T13+U10-U11-U12</f>
        <v>157518.043688229</v>
      </c>
      <c r="V13" s="60" t="n">
        <f aca="false">U13+V10-V11-V12</f>
        <v>158009.260003153</v>
      </c>
      <c r="W13" s="60" t="n">
        <f aca="false">V13+W10-W11-W12</f>
        <v>159968.899340933</v>
      </c>
      <c r="X13" s="60" t="n">
        <f aca="false">W13+X10-X11-X12</f>
        <v>161145.048010578</v>
      </c>
      <c r="Y13" s="60" t="n">
        <f aca="false">X13+Y10-Y11-Y12</f>
        <v>162638.40962113</v>
      </c>
      <c r="Z13" s="60" t="n">
        <f aca="false">Y13+Z10-Z11-Z12</f>
        <v>165860.740034221</v>
      </c>
      <c r="AA13" s="60" t="n">
        <f aca="false">Z13+AA10-AA11-AA12</f>
        <v>167181.725315759</v>
      </c>
      <c r="AB13" s="60" t="n">
        <f aca="false">AA13+AB10-AB11-AB12</f>
        <v>170279.579810058</v>
      </c>
    </row>
    <row r="14" customFormat="false" ht="15" hidden="false" customHeight="false" outlineLevel="0" collapsed="false">
      <c r="A14" s="28" t="s">
        <v>1483</v>
      </c>
      <c r="B14" s="62"/>
      <c r="C14" s="64" t="n">
        <f aca="false">P14</f>
        <v>261159.341799719</v>
      </c>
      <c r="D14" s="64" t="n">
        <f aca="false">AB14</f>
        <v>195191.482336269</v>
      </c>
      <c r="E14" s="73" t="n">
        <f aca="false">E9</f>
        <v>145802.11</v>
      </c>
      <c r="F14" s="73" t="n">
        <f aca="false">F9</f>
        <v>145483.75</v>
      </c>
      <c r="G14" s="73" t="n">
        <f aca="false">G9</f>
        <v>145196.31</v>
      </c>
      <c r="H14" s="73" t="n">
        <f aca="false">H9</f>
        <v>144436.68</v>
      </c>
      <c r="I14" s="73" t="n">
        <f aca="false">I9</f>
        <v>153283.69</v>
      </c>
      <c r="J14" s="73" t="n">
        <f aca="false">J9</f>
        <v>153666.63</v>
      </c>
      <c r="K14" s="73" t="n">
        <f aca="false">K9</f>
        <v>164910.63</v>
      </c>
      <c r="L14" s="73" t="n">
        <f aca="false">L9</f>
        <v>166828.4</v>
      </c>
      <c r="M14" s="73" t="n">
        <f aca="false">M9</f>
        <v>165602.954756609</v>
      </c>
      <c r="N14" s="73" t="n">
        <f aca="false">N9</f>
        <v>140874.068436312</v>
      </c>
      <c r="O14" s="73" t="n">
        <f aca="false">O9</f>
        <v>143917.797653868</v>
      </c>
      <c r="P14" s="73" t="n">
        <f aca="false">P9</f>
        <v>261159.341799719</v>
      </c>
      <c r="Q14" s="73" t="n">
        <f aca="false">Q9</f>
        <v>168060.553953021</v>
      </c>
      <c r="R14" s="73" t="n">
        <f aca="false">R9</f>
        <v>168583.555048818</v>
      </c>
      <c r="S14" s="73" t="n">
        <f aca="false">S9</f>
        <v>175487.578739862</v>
      </c>
      <c r="T14" s="73" t="n">
        <f aca="false">T9</f>
        <v>175629.969637729</v>
      </c>
      <c r="U14" s="73" t="n">
        <f aca="false">U9</f>
        <v>180562.933479817</v>
      </c>
      <c r="V14" s="73" t="n">
        <f aca="false">V9</f>
        <v>181126.014741614</v>
      </c>
      <c r="W14" s="73" t="n">
        <f aca="false">W9</f>
        <v>183372.349314512</v>
      </c>
      <c r="X14" s="73" t="n">
        <f aca="false">X9</f>
        <v>184720.568534525</v>
      </c>
      <c r="Y14" s="73" t="n">
        <f aca="false">Y9</f>
        <v>186432.408948702</v>
      </c>
      <c r="Z14" s="73" t="n">
        <f aca="false">Z9</f>
        <v>190126.166301228</v>
      </c>
      <c r="AA14" s="73" t="n">
        <f aca="false">AA9</f>
        <v>191640.411729455</v>
      </c>
      <c r="AB14" s="73" t="n">
        <f aca="false">AB9</f>
        <v>195191.482336269</v>
      </c>
    </row>
    <row r="15" customFormat="false" ht="15" hidden="false" customHeight="false" outlineLevel="0" collapsed="false">
      <c r="A15" s="22" t="s">
        <v>1484</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row>
    <row r="16" customFormat="false" ht="15" hidden="false" customHeight="false" outlineLevel="0" collapsed="false">
      <c r="A16" s="28" t="s">
        <v>1485</v>
      </c>
      <c r="B16" s="62"/>
      <c r="C16" s="64" t="n">
        <f aca="false">SUM(E16:P16)</f>
        <v>113203.523703303</v>
      </c>
      <c r="D16" s="64" t="n">
        <f aca="false">SUM(Q16:AB16)</f>
        <v>167842.113701418</v>
      </c>
      <c r="E16" s="65" t="n">
        <f aca="false">Usage_Compute!E45</f>
        <v>8172.87</v>
      </c>
      <c r="F16" s="65" t="n">
        <f aca="false">Usage_Compute!F45</f>
        <v>8429.57</v>
      </c>
      <c r="G16" s="65" t="n">
        <f aca="false">Usage_Compute!G45</f>
        <v>8033.9</v>
      </c>
      <c r="H16" s="65" t="n">
        <f aca="false">Usage_Compute!H45</f>
        <v>8834.88</v>
      </c>
      <c r="I16" s="65" t="n">
        <f aca="false">Usage_Compute!I45</f>
        <v>9004.17</v>
      </c>
      <c r="J16" s="65" t="n">
        <f aca="false">Usage_Compute!J45</f>
        <v>9240.64</v>
      </c>
      <c r="K16" s="65" t="n">
        <f aca="false">Usage_Compute!K45</f>
        <v>9844.35</v>
      </c>
      <c r="L16" s="65" t="n">
        <f aca="false">Usage_Compute!L45</f>
        <v>9871.04</v>
      </c>
      <c r="M16" s="65" t="n">
        <f aca="false">Usage_Compute!M45</f>
        <v>9998.79700586248</v>
      </c>
      <c r="N16" s="65" t="n">
        <f aca="false">Usage_Compute!N45</f>
        <v>10170.8811115552</v>
      </c>
      <c r="O16" s="65" t="n">
        <f aca="false">Usage_Compute!O45</f>
        <v>10610.6259221481</v>
      </c>
      <c r="P16" s="65" t="n">
        <f aca="false">Usage_Compute!P45</f>
        <v>10991.7996637373</v>
      </c>
      <c r="Q16" s="65" t="n">
        <f aca="false">Usage_Compute!Q45</f>
        <v>12514.0722463055</v>
      </c>
      <c r="R16" s="65" t="n">
        <f aca="false">Usage_Compute!R45</f>
        <v>12861.9534597654</v>
      </c>
      <c r="S16" s="65" t="n">
        <f aca="false">Usage_Compute!S45</f>
        <v>13208.3483632183</v>
      </c>
      <c r="T16" s="65" t="n">
        <f aca="false">Usage_Compute!T45</f>
        <v>13350.8225394132</v>
      </c>
      <c r="U16" s="65" t="n">
        <f aca="false">Usage_Compute!U45</f>
        <v>13776.8785607132</v>
      </c>
      <c r="V16" s="65" t="n">
        <f aca="false">Usage_Compute!V45</f>
        <v>13899.4931066002</v>
      </c>
      <c r="W16" s="65" t="n">
        <f aca="false">Usage_Compute!W45</f>
        <v>14077.7959226185</v>
      </c>
      <c r="X16" s="65" t="n">
        <f aca="false">Usage_Compute!X45</f>
        <v>14239.4198105958</v>
      </c>
      <c r="Y16" s="65" t="n">
        <f aca="false">Usage_Compute!Y45</f>
        <v>14583.2671517294</v>
      </c>
      <c r="Z16" s="65" t="n">
        <f aca="false">Usage_Compute!Z45</f>
        <v>14845.8698719591</v>
      </c>
      <c r="AA16" s="65" t="n">
        <f aca="false">Usage_Compute!AA45</f>
        <v>15106.5440359835</v>
      </c>
      <c r="AB16" s="65" t="n">
        <f aca="false">Usage_Compute!AB45</f>
        <v>15377.6486325164</v>
      </c>
    </row>
    <row r="17" customFormat="false" ht="15" hidden="false" customHeight="false" outlineLevel="0" collapsed="false">
      <c r="A17" s="28" t="s">
        <v>1486</v>
      </c>
      <c r="B17" s="62" t="s">
        <v>1487</v>
      </c>
      <c r="C17" s="64" t="n">
        <f aca="false">SUM(E17:P17)</f>
        <v>109316.694039566</v>
      </c>
      <c r="D17" s="64" t="n">
        <f aca="false">SUM(Q17:AB17)</f>
        <v>163456.264732639</v>
      </c>
      <c r="E17" s="65" t="n">
        <f aca="false">IF(E$5="A",Inputs_Actuals!E163,Inputs_Actuals!$C$187)</f>
        <v>7104.97</v>
      </c>
      <c r="F17" s="65" t="n">
        <f aca="false">IF(F$5="A",Inputs_Actuals!F163,E18)</f>
        <v>8172.87</v>
      </c>
      <c r="G17" s="65" t="n">
        <f aca="false">IF(G$5="A",Inputs_Actuals!G163,F18)</f>
        <v>8429.57</v>
      </c>
      <c r="H17" s="65" t="n">
        <f aca="false">IF(H$5="A",Inputs_Actuals!H163,G18)</f>
        <v>8033.9</v>
      </c>
      <c r="I17" s="65" t="n">
        <f aca="false">IF(I$5="A",Inputs_Actuals!I163,H18)</f>
        <v>8834.88</v>
      </c>
      <c r="J17" s="65" t="n">
        <f aca="false">IF(J$5="A",Inputs_Actuals!J163,I18)</f>
        <v>9004.17</v>
      </c>
      <c r="K17" s="65" t="n">
        <f aca="false">IF(K$5="A",Inputs_Actuals!K163,J18)</f>
        <v>9240.64</v>
      </c>
      <c r="L17" s="65" t="n">
        <f aca="false">IF(L$5="A",Inputs_Actuals!L163,K18)</f>
        <v>9844.35</v>
      </c>
      <c r="M17" s="65" t="n">
        <f aca="false">IF(M$5="A",Inputs_Actuals!M163,L18)</f>
        <v>9871.04</v>
      </c>
      <c r="N17" s="65" t="n">
        <f aca="false">IF(N$5="A",Inputs_Actuals!N163,M18)</f>
        <v>9998.79700586248</v>
      </c>
      <c r="O17" s="65" t="n">
        <f aca="false">IF(O$5="A",Inputs_Actuals!O163,N18)</f>
        <v>10170.8811115552</v>
      </c>
      <c r="P17" s="65" t="n">
        <f aca="false">IF(P$5="A",Inputs_Actuals!P163,O18)</f>
        <v>10610.625922148</v>
      </c>
      <c r="Q17" s="65" t="n">
        <f aca="false">IF(Q$5="A",Inputs_Actuals!Q163,P18)</f>
        <v>10991.7996637373</v>
      </c>
      <c r="R17" s="65" t="n">
        <f aca="false">IF(R$5="A",Inputs_Actuals!R163,Q18)</f>
        <v>12514.0722463055</v>
      </c>
      <c r="S17" s="65" t="n">
        <f aca="false">IF(S$5="A",Inputs_Actuals!S163,R18)</f>
        <v>12861.9534597654</v>
      </c>
      <c r="T17" s="65" t="n">
        <f aca="false">IF(T$5="A",Inputs_Actuals!T163,S18)</f>
        <v>13208.3483632183</v>
      </c>
      <c r="U17" s="65" t="n">
        <f aca="false">IF(U$5="A",Inputs_Actuals!U163,T18)</f>
        <v>13350.8225394132</v>
      </c>
      <c r="V17" s="65" t="n">
        <f aca="false">IF(V$5="A",Inputs_Actuals!V163,U18)</f>
        <v>13776.8785607132</v>
      </c>
      <c r="W17" s="65" t="n">
        <f aca="false">IF(W$5="A",Inputs_Actuals!W163,V18)</f>
        <v>13899.4931066002</v>
      </c>
      <c r="X17" s="65" t="n">
        <f aca="false">IF(X$5="A",Inputs_Actuals!X163,W18)</f>
        <v>14077.7959226185</v>
      </c>
      <c r="Y17" s="65" t="n">
        <f aca="false">IF(Y$5="A",Inputs_Actuals!Y163,X18)</f>
        <v>14239.4198105958</v>
      </c>
      <c r="Z17" s="65" t="n">
        <f aca="false">IF(Z$5="A",Inputs_Actuals!Z163,Y18)</f>
        <v>14583.2671517294</v>
      </c>
      <c r="AA17" s="65" t="n">
        <f aca="false">IF(AA$5="A",Inputs_Actuals!AA163,Z18)</f>
        <v>14845.8698719592</v>
      </c>
      <c r="AB17" s="65" t="n">
        <f aca="false">IF(AB$5="A",Inputs_Actuals!AB163,AA18)</f>
        <v>15106.5440359835</v>
      </c>
    </row>
    <row r="18" customFormat="false" ht="15" hidden="false" customHeight="false" outlineLevel="0" collapsed="false">
      <c r="A18" s="58" t="s">
        <v>1488</v>
      </c>
      <c r="B18" s="59"/>
      <c r="C18" s="60" t="n">
        <f aca="false">P18</f>
        <v>10991.7996637373</v>
      </c>
      <c r="D18" s="60" t="n">
        <f aca="false">AB18</f>
        <v>15377.6486325164</v>
      </c>
      <c r="E18" s="61" t="n">
        <f aca="false">Inputs_Actuals!$C$187+E16-E17</f>
        <v>8172.87</v>
      </c>
      <c r="F18" s="60" t="n">
        <f aca="false">E18+F16-F17</f>
        <v>8429.57</v>
      </c>
      <c r="G18" s="60" t="n">
        <f aca="false">F18+G16-G17</f>
        <v>8033.9</v>
      </c>
      <c r="H18" s="60" t="n">
        <f aca="false">G18+H16-H17</f>
        <v>8834.88</v>
      </c>
      <c r="I18" s="60" t="n">
        <f aca="false">H18+I16-I17</f>
        <v>9004.17</v>
      </c>
      <c r="J18" s="60" t="n">
        <f aca="false">I18+J16-J17</f>
        <v>9240.64</v>
      </c>
      <c r="K18" s="60" t="n">
        <f aca="false">J18+K16-K17</f>
        <v>9844.35</v>
      </c>
      <c r="L18" s="60" t="n">
        <f aca="false">K18+L16-L17</f>
        <v>9871.04</v>
      </c>
      <c r="M18" s="60" t="n">
        <f aca="false">L18+M16-M17</f>
        <v>9998.79700586248</v>
      </c>
      <c r="N18" s="60" t="n">
        <f aca="false">M18+N16-N17</f>
        <v>10170.8811115552</v>
      </c>
      <c r="O18" s="60" t="n">
        <f aca="false">N18+O16-O17</f>
        <v>10610.625922148</v>
      </c>
      <c r="P18" s="60" t="n">
        <f aca="false">O18+P16-P17</f>
        <v>10991.7996637373</v>
      </c>
      <c r="Q18" s="60" t="n">
        <f aca="false">P18+Q16-Q17</f>
        <v>12514.0722463055</v>
      </c>
      <c r="R18" s="60" t="n">
        <f aca="false">Q18+R16-R17</f>
        <v>12861.9534597654</v>
      </c>
      <c r="S18" s="60" t="n">
        <f aca="false">R18+S16-S17</f>
        <v>13208.3483632183</v>
      </c>
      <c r="T18" s="60" t="n">
        <f aca="false">S18+T16-T17</f>
        <v>13350.8225394132</v>
      </c>
      <c r="U18" s="60" t="n">
        <f aca="false">T18+U16-U17</f>
        <v>13776.8785607132</v>
      </c>
      <c r="V18" s="60" t="n">
        <f aca="false">U18+V16-V17</f>
        <v>13899.4931066002</v>
      </c>
      <c r="W18" s="60" t="n">
        <f aca="false">V18+W16-W17</f>
        <v>14077.7959226185</v>
      </c>
      <c r="X18" s="60" t="n">
        <f aca="false">W18+X16-X17</f>
        <v>14239.4198105958</v>
      </c>
      <c r="Y18" s="60" t="n">
        <f aca="false">X18+Y16-Y17</f>
        <v>14583.2671517294</v>
      </c>
      <c r="Z18" s="60" t="n">
        <f aca="false">Y18+Z16-Z17</f>
        <v>14845.8698719592</v>
      </c>
      <c r="AA18" s="60" t="n">
        <f aca="false">Z18+AA16-AA17</f>
        <v>15106.5440359835</v>
      </c>
      <c r="AB18" s="60" t="n">
        <f aca="false">AA18+AB16-AB17</f>
        <v>15377.6486325164</v>
      </c>
    </row>
    <row r="19" customFormat="false" ht="15" hidden="false" customHeight="false" outlineLevel="0" collapsed="false">
      <c r="A19" s="22" t="s">
        <v>1489</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1490</v>
      </c>
      <c r="B20" s="62"/>
      <c r="C20" s="64" t="n">
        <f aca="false">SUM(E20:P20)</f>
        <v>819053.213764383</v>
      </c>
      <c r="D20" s="64" t="n">
        <f aca="false">SUM(Q20:AB20)</f>
        <v>865902.839147554</v>
      </c>
      <c r="E20" s="65" t="n">
        <f aca="false">Overheads!E9+Overheads!E10+Overheads!E16</f>
        <v>70026.06</v>
      </c>
      <c r="F20" s="65" t="n">
        <f aca="false">Overheads!F9+Overheads!F10+Overheads!F16</f>
        <v>67643.71</v>
      </c>
      <c r="G20" s="65" t="n">
        <f aca="false">Overheads!G9+Overheads!G10+Overheads!G16</f>
        <v>74176.79</v>
      </c>
      <c r="H20" s="65" t="n">
        <f aca="false">Overheads!H9+Overheads!H10+Overheads!H16</f>
        <v>69366.35</v>
      </c>
      <c r="I20" s="65" t="n">
        <f aca="false">Overheads!I9+Overheads!I10+Overheads!I16</f>
        <v>65767.27</v>
      </c>
      <c r="J20" s="65" t="n">
        <f aca="false">Overheads!J9+Overheads!J10+Overheads!J16</f>
        <v>67888.45</v>
      </c>
      <c r="K20" s="65" t="n">
        <f aca="false">Overheads!K9+Overheads!K10+Overheads!K16</f>
        <v>67886.13</v>
      </c>
      <c r="L20" s="65" t="n">
        <f aca="false">Overheads!L9+Overheads!L10+Overheads!L16</f>
        <v>60109.26</v>
      </c>
      <c r="M20" s="65" t="n">
        <f aca="false">Overheads!M9+Overheads!M10+Overheads!M16</f>
        <v>67287.2</v>
      </c>
      <c r="N20" s="65" t="n">
        <f aca="false">Overheads!N9+Overheads!N10+Overheads!N16</f>
        <v>73276.6353333333</v>
      </c>
      <c r="O20" s="65" t="n">
        <f aca="false">Overheads!O9+Overheads!O10+Overheads!O16</f>
        <v>67816.0773061111</v>
      </c>
      <c r="P20" s="65" t="n">
        <f aca="false">Overheads!P9+Overheads!P10+Overheads!P16</f>
        <v>67809.2811249384</v>
      </c>
      <c r="Q20" s="65" t="n">
        <f aca="false">Overheads!Q9+Overheads!Q10+Overheads!Q16</f>
        <v>70730.5053074616</v>
      </c>
      <c r="R20" s="65" t="n">
        <f aca="false">Overheads!R9+Overheads!R10+Overheads!R16</f>
        <v>70963.3425162343</v>
      </c>
      <c r="S20" s="65" t="n">
        <f aca="false">Overheads!S9+Overheads!S10+Overheads!S16</f>
        <v>77034.6402146239</v>
      </c>
      <c r="T20" s="65" t="n">
        <f aca="false">Overheads!T9+Overheads!T10+Overheads!T16</f>
        <v>71678.3689730573</v>
      </c>
      <c r="U20" s="65" t="n">
        <f aca="false">Overheads!U9+Overheads!U10+Overheads!U16</f>
        <v>71669.4474669856</v>
      </c>
      <c r="V20" s="65" t="n">
        <f aca="false">Overheads!V9+Overheads!V10+Overheads!V16</f>
        <v>71908.4722466368</v>
      </c>
      <c r="W20" s="65" t="n">
        <f aca="false">Overheads!W9+Overheads!W10+Overheads!W16</f>
        <v>72152.6456240682</v>
      </c>
      <c r="X20" s="65" t="n">
        <f aca="false">Overheads!X9+Overheads!X10+Overheads!X16</f>
        <v>64359.0733047542</v>
      </c>
      <c r="Y20" s="65" t="n">
        <f aca="false">Overheads!Y9+Overheads!Y10+Overheads!Y16</f>
        <v>72393.4734655675</v>
      </c>
      <c r="Z20" s="65" t="n">
        <f aca="false">Overheads!Z9+Overheads!Z10+Overheads!Z16</f>
        <v>78233.9604639906</v>
      </c>
      <c r="AA20" s="65" t="n">
        <f aca="false">Overheads!AA9+Overheads!AA10+Overheads!AA16</f>
        <v>72389.4379354873</v>
      </c>
      <c r="AB20" s="65" t="n">
        <f aca="false">Overheads!AB9+Overheads!AB10+Overheads!AB16</f>
        <v>72389.4716286864</v>
      </c>
    </row>
    <row r="21" customFormat="false" ht="15" hidden="false" customHeight="false" outlineLevel="0" collapsed="false">
      <c r="A21" s="28" t="s">
        <v>1491</v>
      </c>
      <c r="B21" s="62" t="s">
        <v>1487</v>
      </c>
      <c r="C21" s="64" t="n">
        <f aca="false">SUM(E21:P21)</f>
        <v>819169.212639445</v>
      </c>
      <c r="D21" s="64" t="n">
        <f aca="false">SUM(Q21:AB21)</f>
        <v>861322.648643806</v>
      </c>
      <c r="E21" s="65" t="n">
        <f aca="false">IF(E$5="A",Inputs_Actuals!E164,Inputs_Actuals!$C$188)</f>
        <v>67925.28</v>
      </c>
      <c r="F21" s="65" t="n">
        <f aca="false">IF(F$5="A",Inputs_Actuals!F164,E22)</f>
        <v>70026.06</v>
      </c>
      <c r="G21" s="65" t="n">
        <f aca="false">IF(G$5="A",Inputs_Actuals!G164,F22)</f>
        <v>67643.71</v>
      </c>
      <c r="H21" s="65" t="n">
        <f aca="false">IF(H$5="A",Inputs_Actuals!H164,G22)</f>
        <v>74176.79</v>
      </c>
      <c r="I21" s="65" t="n">
        <f aca="false">IF(I$5="A",Inputs_Actuals!I164,H22)</f>
        <v>69366.35</v>
      </c>
      <c r="J21" s="65" t="n">
        <f aca="false">IF(J$5="A",Inputs_Actuals!J164,I22)</f>
        <v>65767.27</v>
      </c>
      <c r="K21" s="65" t="n">
        <f aca="false">IF(K$5="A",Inputs_Actuals!K164,J22)</f>
        <v>67888.45</v>
      </c>
      <c r="L21" s="65" t="n">
        <f aca="false">IF(L$5="A",Inputs_Actuals!L164,K22)</f>
        <v>67886.13</v>
      </c>
      <c r="M21" s="65" t="n">
        <f aca="false">IF(M$5="A",Inputs_Actuals!M164,L22)</f>
        <v>60109.26</v>
      </c>
      <c r="N21" s="65" t="n">
        <f aca="false">IF(N$5="A",Inputs_Actuals!N164,M22)</f>
        <v>67287.2</v>
      </c>
      <c r="O21" s="65" t="n">
        <f aca="false">IF(O$5="A",Inputs_Actuals!O164,N22)</f>
        <v>73276.6353333334</v>
      </c>
      <c r="P21" s="65" t="n">
        <f aca="false">IF(P$5="A",Inputs_Actuals!P164,O22)</f>
        <v>67816.0773061111</v>
      </c>
      <c r="Q21" s="65" t="n">
        <f aca="false">IF(Q$5="A",Inputs_Actuals!Q164,P22)</f>
        <v>67809.2811249384</v>
      </c>
      <c r="R21" s="65" t="n">
        <f aca="false">IF(R$5="A",Inputs_Actuals!R164,Q22)</f>
        <v>70730.5053074616</v>
      </c>
      <c r="S21" s="65" t="n">
        <f aca="false">IF(S$5="A",Inputs_Actuals!S164,R22)</f>
        <v>70963.3425162343</v>
      </c>
      <c r="T21" s="65" t="n">
        <f aca="false">IF(T$5="A",Inputs_Actuals!T164,S22)</f>
        <v>77034.6402146239</v>
      </c>
      <c r="U21" s="65" t="n">
        <f aca="false">IF(U$5="A",Inputs_Actuals!U164,T22)</f>
        <v>71678.3689730573</v>
      </c>
      <c r="V21" s="65" t="n">
        <f aca="false">IF(V$5="A",Inputs_Actuals!V164,U22)</f>
        <v>71669.4474669856</v>
      </c>
      <c r="W21" s="65" t="n">
        <f aca="false">IF(W$5="A",Inputs_Actuals!W164,V22)</f>
        <v>71908.4722466368</v>
      </c>
      <c r="X21" s="65" t="n">
        <f aca="false">IF(X$5="A",Inputs_Actuals!X164,W22)</f>
        <v>72152.6456240682</v>
      </c>
      <c r="Y21" s="65" t="n">
        <f aca="false">IF(Y$5="A",Inputs_Actuals!Y164,X22)</f>
        <v>64359.0733047542</v>
      </c>
      <c r="Z21" s="65" t="n">
        <f aca="false">IF(Z$5="A",Inputs_Actuals!Z164,Y22)</f>
        <v>72393.4734655675</v>
      </c>
      <c r="AA21" s="65" t="n">
        <f aca="false">IF(AA$5="A",Inputs_Actuals!AA164,Z22)</f>
        <v>78233.9604639906</v>
      </c>
      <c r="AB21" s="65" t="n">
        <f aca="false">IF(AB$5="A",Inputs_Actuals!AB164,AA22)</f>
        <v>72389.4379354873</v>
      </c>
    </row>
    <row r="22" customFormat="false" ht="15" hidden="false" customHeight="false" outlineLevel="0" collapsed="false">
      <c r="A22" s="58" t="s">
        <v>1492</v>
      </c>
      <c r="B22" s="59"/>
      <c r="C22" s="60" t="n">
        <f aca="false">P22</f>
        <v>67809.2811249384</v>
      </c>
      <c r="D22" s="60" t="n">
        <f aca="false">AB22</f>
        <v>72389.4716286864</v>
      </c>
      <c r="E22" s="61" t="n">
        <f aca="false">Inputs_Actuals!$C$188+E20-E21</f>
        <v>70026.06</v>
      </c>
      <c r="F22" s="60" t="n">
        <f aca="false">E22+F20-F21</f>
        <v>67643.71</v>
      </c>
      <c r="G22" s="60" t="n">
        <f aca="false">F22+G20-G21</f>
        <v>74176.79</v>
      </c>
      <c r="H22" s="60" t="n">
        <f aca="false">G22+H20-H21</f>
        <v>69366.35</v>
      </c>
      <c r="I22" s="60" t="n">
        <f aca="false">H22+I20-I21</f>
        <v>65767.27</v>
      </c>
      <c r="J22" s="60" t="n">
        <f aca="false">I22+J20-J21</f>
        <v>67888.45</v>
      </c>
      <c r="K22" s="60" t="n">
        <f aca="false">J22+K20-K21</f>
        <v>67886.13</v>
      </c>
      <c r="L22" s="60" t="n">
        <f aca="false">K22+L20-L21</f>
        <v>60109.26</v>
      </c>
      <c r="M22" s="60" t="n">
        <f aca="false">L22+M20-M21</f>
        <v>67287.2</v>
      </c>
      <c r="N22" s="60" t="n">
        <f aca="false">M22+N20-N21</f>
        <v>73276.6353333334</v>
      </c>
      <c r="O22" s="60" t="n">
        <f aca="false">N22+O20-O21</f>
        <v>67816.0773061111</v>
      </c>
      <c r="P22" s="60" t="n">
        <f aca="false">O22+P20-P21</f>
        <v>67809.2811249384</v>
      </c>
      <c r="Q22" s="60" t="n">
        <f aca="false">P22+Q20-Q21</f>
        <v>70730.5053074616</v>
      </c>
      <c r="R22" s="60" t="n">
        <f aca="false">Q22+R20-R21</f>
        <v>70963.3425162343</v>
      </c>
      <c r="S22" s="60" t="n">
        <f aca="false">R22+S20-S21</f>
        <v>77034.6402146239</v>
      </c>
      <c r="T22" s="60" t="n">
        <f aca="false">S22+T20-T21</f>
        <v>71678.3689730573</v>
      </c>
      <c r="U22" s="60" t="n">
        <f aca="false">T22+U20-U21</f>
        <v>71669.4474669856</v>
      </c>
      <c r="V22" s="60" t="n">
        <f aca="false">U22+V20-V21</f>
        <v>71908.4722466368</v>
      </c>
      <c r="W22" s="60" t="n">
        <f aca="false">V22+W20-W21</f>
        <v>72152.6456240682</v>
      </c>
      <c r="X22" s="60" t="n">
        <f aca="false">W22+X20-X21</f>
        <v>64359.0733047542</v>
      </c>
      <c r="Y22" s="60" t="n">
        <f aca="false">X22+Y20-Y21</f>
        <v>72393.4734655675</v>
      </c>
      <c r="Z22" s="60" t="n">
        <f aca="false">Y22+Z20-Z21</f>
        <v>78233.9604639906</v>
      </c>
      <c r="AA22" s="60" t="n">
        <f aca="false">Z22+AA20-AA21</f>
        <v>72389.4379354873</v>
      </c>
      <c r="AB22" s="60" t="n">
        <f aca="false">AA22+AB20-AB21</f>
        <v>72389.4716286864</v>
      </c>
    </row>
    <row r="23" customFormat="false" ht="15" hidden="false" customHeight="false" outlineLevel="0" collapsed="false">
      <c r="A23" s="22" t="s">
        <v>1493</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1494</v>
      </c>
      <c r="B24" s="62"/>
      <c r="C24" s="64" t="n">
        <f aca="false">SUM(E24:P24)</f>
        <v>701464.287</v>
      </c>
      <c r="D24" s="64" t="n">
        <f aca="false">SUM(Q24:AB24)</f>
        <v>812832.421894746</v>
      </c>
      <c r="E24" s="65" t="n">
        <f aca="false">(Overheads!E11+Overheads!E13+Overheads!E15+Fixed_Assets!E8)*(1+Assumptions!$C$18)</f>
        <v>52015.608</v>
      </c>
      <c r="F24" s="65" t="n">
        <f aca="false">(Overheads!F11+Overheads!F13+Overheads!F15+Fixed_Assets!F8)*(1+Assumptions!$C$18)</f>
        <v>61986</v>
      </c>
      <c r="G24" s="65" t="n">
        <f aca="false">(Overheads!G11+Overheads!G13+Overheads!G15+Fixed_Assets!G8)*(1+Assumptions!$C$18)</f>
        <v>95719.896</v>
      </c>
      <c r="H24" s="65" t="n">
        <f aca="false">(Overheads!H11+Overheads!H13+Overheads!H15+Fixed_Assets!H8)*(1+Assumptions!$C$18)</f>
        <v>62591.64</v>
      </c>
      <c r="I24" s="65" t="n">
        <f aca="false">(Overheads!I11+Overheads!I13+Overheads!I15+Fixed_Assets!I8)*(1+Assumptions!$C$18)</f>
        <v>52805.772</v>
      </c>
      <c r="J24" s="65" t="n">
        <f aca="false">(Overheads!J11+Overheads!J13+Overheads!J15+Fixed_Assets!J8)*(1+Assumptions!$C$18)</f>
        <v>79688.208</v>
      </c>
      <c r="K24" s="65" t="n">
        <f aca="false">(Overheads!K11+Overheads!K13+Overheads!K15+Fixed_Assets!K8)*(1+Assumptions!$C$18)</f>
        <v>42612.624</v>
      </c>
      <c r="L24" s="65" t="n">
        <f aca="false">(Overheads!L11+Overheads!L13+Overheads!L15+Fixed_Assets!L8)*(1+Assumptions!$C$18)</f>
        <v>38627.988</v>
      </c>
      <c r="M24" s="65" t="n">
        <f aca="false">(Overheads!M11+Overheads!M13+Overheads!M15+Fixed_Assets!M8)*(1+Assumptions!$C$18)</f>
        <v>40200</v>
      </c>
      <c r="N24" s="65" t="n">
        <f aca="false">(Overheads!N11+Overheads!N13+Overheads!N15+Fixed_Assets!N8)*(1+Assumptions!$C$18)</f>
        <v>63960</v>
      </c>
      <c r="O24" s="65" t="n">
        <f aca="false">(Overheads!O11+Overheads!O13+Overheads!O15+Fixed_Assets!O8)*(1+Assumptions!$C$18)</f>
        <v>61623.6</v>
      </c>
      <c r="P24" s="65" t="n">
        <f aca="false">(Overheads!P11+Overheads!P13+Overheads!P15+Fixed_Assets!P8)*(1+Assumptions!$C$18)</f>
        <v>49632.951</v>
      </c>
      <c r="Q24" s="65" t="n">
        <f aca="false">(Overheads!Q11+Overheads!Q13+Overheads!Q15+Fixed_Assets!Q8)*(1+Assumptions!$C$18)</f>
        <v>110071.2223475</v>
      </c>
      <c r="R24" s="65" t="n">
        <f aca="false">(Overheads!R11+Overheads!R13+Overheads!R15+Fixed_Assets!R8)*(1+Assumptions!$C$18)</f>
        <v>62749.3619680479</v>
      </c>
      <c r="S24" s="65" t="n">
        <f aca="false">(Overheads!S11+Overheads!S13+Overheads!S15+Fixed_Assets!S8)*(1+Assumptions!$C$18)</f>
        <v>86360.7719642928</v>
      </c>
      <c r="T24" s="65" t="n">
        <f aca="false">(Overheads!T11+Overheads!T13+Overheads!T15+Fixed_Assets!T8)*(1+Assumptions!$C$18)</f>
        <v>75265.0284712218</v>
      </c>
      <c r="U24" s="65" t="n">
        <f aca="false">(Overheads!U11+Overheads!U13+Overheads!U15+Fixed_Assets!U8)*(1+Assumptions!$C$18)</f>
        <v>51695.5172615741</v>
      </c>
      <c r="V24" s="65" t="n">
        <f aca="false">(Overheads!V11+Overheads!V13+Overheads!V15+Fixed_Assets!V8)*(1+Assumptions!$C$18)</f>
        <v>89493.7372102949</v>
      </c>
      <c r="W24" s="65" t="n">
        <f aca="false">(Overheads!W11+Overheads!W13+Overheads!W15+Fixed_Assets!W8)*(1+Assumptions!$C$18)</f>
        <v>64006.360725521</v>
      </c>
      <c r="X24" s="65" t="n">
        <f aca="false">(Overheads!X11+Overheads!X13+Overheads!X15+Fixed_Assets!X8)*(1+Assumptions!$C$18)</f>
        <v>52120.5893149465</v>
      </c>
      <c r="Y24" s="65" t="n">
        <f aca="false">(Overheads!Y11+Overheads!Y13+Overheads!Y15+Fixed_Assets!Y8)*(1+Assumptions!$C$18)</f>
        <v>64094.5732300547</v>
      </c>
      <c r="Z24" s="65" t="n">
        <f aca="false">(Overheads!Z11+Overheads!Z13+Overheads!Z15+Fixed_Assets!Z8)*(1+Assumptions!$C$18)</f>
        <v>52293.1061988879</v>
      </c>
      <c r="AA24" s="65" t="n">
        <f aca="false">(Overheads!AA11+Overheads!AA13+Overheads!AA15+Fixed_Assets!AA8)*(1+Assumptions!$C$18)</f>
        <v>52291.8337566322</v>
      </c>
      <c r="AB24" s="65" t="n">
        <f aca="false">(Overheads!AB11+Overheads!AB13+Overheads!AB15+Fixed_Assets!AB8)*(1+Assumptions!$C$18)</f>
        <v>52390.3194457724</v>
      </c>
    </row>
    <row r="25" customFormat="false" ht="15" hidden="false" customHeight="false" outlineLevel="0" collapsed="false">
      <c r="A25" s="28" t="s">
        <v>1495</v>
      </c>
      <c r="B25" s="62" t="s">
        <v>1487</v>
      </c>
      <c r="C25" s="64" t="n">
        <f aca="false">SUM(E25:P25)</f>
        <v>700726.006</v>
      </c>
      <c r="D25" s="64" t="n">
        <f aca="false">SUM(Q25:AB25)</f>
        <v>810075.053448974</v>
      </c>
      <c r="E25" s="65" t="n">
        <f aca="false">IF(E$5="A",Inputs_Actuals!E165,Inputs_Actuals!$C$189)</f>
        <v>48894.67</v>
      </c>
      <c r="F25" s="65" t="n">
        <f aca="false">IF(F$5="A",Inputs_Actuals!F165,E26)</f>
        <v>52015.61</v>
      </c>
      <c r="G25" s="65" t="n">
        <f aca="false">IF(G$5="A",Inputs_Actuals!G165,F26)</f>
        <v>61986</v>
      </c>
      <c r="H25" s="65" t="n">
        <f aca="false">IF(H$5="A",Inputs_Actuals!H165,G26)</f>
        <v>95719.9</v>
      </c>
      <c r="I25" s="65" t="n">
        <f aca="false">IF(I$5="A",Inputs_Actuals!I165,H26)</f>
        <v>62591.64</v>
      </c>
      <c r="J25" s="65" t="n">
        <f aca="false">IF(J$5="A",Inputs_Actuals!J165,I26)</f>
        <v>52805.77</v>
      </c>
      <c r="K25" s="65" t="n">
        <f aca="false">IF(K$5="A",Inputs_Actuals!K165,J26)</f>
        <v>79688.21</v>
      </c>
      <c r="L25" s="65" t="n">
        <f aca="false">IF(L$5="A",Inputs_Actuals!L165,K26)</f>
        <v>42612.62</v>
      </c>
      <c r="M25" s="65" t="n">
        <f aca="false">IF(M$5="A",Inputs_Actuals!M165,L26)</f>
        <v>38627.986</v>
      </c>
      <c r="N25" s="65" t="n">
        <f aca="false">IF(N$5="A",Inputs_Actuals!N165,M26)</f>
        <v>40200</v>
      </c>
      <c r="O25" s="65" t="n">
        <f aca="false">IF(O$5="A",Inputs_Actuals!O165,N26)</f>
        <v>63960</v>
      </c>
      <c r="P25" s="65" t="n">
        <f aca="false">IF(P$5="A",Inputs_Actuals!P165,O26)</f>
        <v>61623.6</v>
      </c>
      <c r="Q25" s="65" t="n">
        <f aca="false">IF(Q$5="A",Inputs_Actuals!Q165,P26)</f>
        <v>49632.951</v>
      </c>
      <c r="R25" s="65" t="n">
        <f aca="false">IF(R$5="A",Inputs_Actuals!R165,Q26)</f>
        <v>110071.2223475</v>
      </c>
      <c r="S25" s="65" t="n">
        <f aca="false">IF(S$5="A",Inputs_Actuals!S165,R26)</f>
        <v>62749.3619680479</v>
      </c>
      <c r="T25" s="65" t="n">
        <f aca="false">IF(T$5="A",Inputs_Actuals!T165,S26)</f>
        <v>86360.7719642928</v>
      </c>
      <c r="U25" s="65" t="n">
        <f aca="false">IF(U$5="A",Inputs_Actuals!U165,T26)</f>
        <v>75265.0284712218</v>
      </c>
      <c r="V25" s="65" t="n">
        <f aca="false">IF(V$5="A",Inputs_Actuals!V165,U26)</f>
        <v>51695.5172615741</v>
      </c>
      <c r="W25" s="65" t="n">
        <f aca="false">IF(W$5="A",Inputs_Actuals!W165,V26)</f>
        <v>89493.7372102949</v>
      </c>
      <c r="X25" s="65" t="n">
        <f aca="false">IF(X$5="A",Inputs_Actuals!X165,W26)</f>
        <v>64006.360725521</v>
      </c>
      <c r="Y25" s="65" t="n">
        <f aca="false">IF(Y$5="A",Inputs_Actuals!Y165,X26)</f>
        <v>52120.5893149465</v>
      </c>
      <c r="Z25" s="65" t="n">
        <f aca="false">IF(Z$5="A",Inputs_Actuals!Z165,Y26)</f>
        <v>64094.5732300547</v>
      </c>
      <c r="AA25" s="65" t="n">
        <f aca="false">IF(AA$5="A",Inputs_Actuals!AA165,Z26)</f>
        <v>52293.1061988879</v>
      </c>
      <c r="AB25" s="65" t="n">
        <f aca="false">IF(AB$5="A",Inputs_Actuals!AB165,AA26)</f>
        <v>52291.8337566322</v>
      </c>
    </row>
    <row r="26" customFormat="false" ht="15" hidden="false" customHeight="false" outlineLevel="0" collapsed="false">
      <c r="A26" s="58" t="s">
        <v>1496</v>
      </c>
      <c r="B26" s="59"/>
      <c r="C26" s="60" t="n">
        <f aca="false">P26</f>
        <v>49632.951</v>
      </c>
      <c r="D26" s="60" t="n">
        <f aca="false">AB26</f>
        <v>52390.3194457723</v>
      </c>
      <c r="E26" s="61" t="n">
        <f aca="false">Inputs_Actuals!$C$189+E24-E25</f>
        <v>52015.608</v>
      </c>
      <c r="F26" s="60" t="n">
        <f aca="false">E26+F24-F25</f>
        <v>61985.998</v>
      </c>
      <c r="G26" s="60" t="n">
        <f aca="false">F26+G24-G25</f>
        <v>95719.894</v>
      </c>
      <c r="H26" s="60" t="n">
        <f aca="false">G26+H24-H25</f>
        <v>62591.634</v>
      </c>
      <c r="I26" s="60" t="n">
        <f aca="false">H26+I24-I25</f>
        <v>52805.766</v>
      </c>
      <c r="J26" s="60" t="n">
        <f aca="false">I26+J24-J25</f>
        <v>79688.204</v>
      </c>
      <c r="K26" s="60" t="n">
        <f aca="false">J26+K24-K25</f>
        <v>42612.618</v>
      </c>
      <c r="L26" s="60" t="n">
        <f aca="false">K26+L24-L25</f>
        <v>38627.986</v>
      </c>
      <c r="M26" s="60" t="n">
        <f aca="false">L26+M24-M25</f>
        <v>40200</v>
      </c>
      <c r="N26" s="60" t="n">
        <f aca="false">M26+N24-N25</f>
        <v>63960</v>
      </c>
      <c r="O26" s="60" t="n">
        <f aca="false">N26+O24-O25</f>
        <v>61623.6</v>
      </c>
      <c r="P26" s="60" t="n">
        <f aca="false">O26+P24-P25</f>
        <v>49632.951</v>
      </c>
      <c r="Q26" s="60" t="n">
        <f aca="false">P26+Q24-Q25</f>
        <v>110071.2223475</v>
      </c>
      <c r="R26" s="60" t="n">
        <f aca="false">Q26+R24-R25</f>
        <v>62749.3619680479</v>
      </c>
      <c r="S26" s="60" t="n">
        <f aca="false">R26+S24-S25</f>
        <v>86360.7719642928</v>
      </c>
      <c r="T26" s="60" t="n">
        <f aca="false">S26+T24-T25</f>
        <v>75265.0284712218</v>
      </c>
      <c r="U26" s="60" t="n">
        <f aca="false">T26+U24-U25</f>
        <v>51695.5172615741</v>
      </c>
      <c r="V26" s="60" t="n">
        <f aca="false">U26+V24-V25</f>
        <v>89493.7372102949</v>
      </c>
      <c r="W26" s="60" t="n">
        <f aca="false">V26+W24-W25</f>
        <v>64006.360725521</v>
      </c>
      <c r="X26" s="60" t="n">
        <f aca="false">W26+X24-X25</f>
        <v>52120.5893149465</v>
      </c>
      <c r="Y26" s="60" t="n">
        <f aca="false">X26+Y24-Y25</f>
        <v>64094.5732300547</v>
      </c>
      <c r="Z26" s="60" t="n">
        <f aca="false">Y26+Z24-Z25</f>
        <v>52293.1061988879</v>
      </c>
      <c r="AA26" s="60" t="n">
        <f aca="false">Z26+AA24-AA25</f>
        <v>52291.8337566322</v>
      </c>
      <c r="AB26" s="60" t="n">
        <f aca="false">AA26+AB24-AB25</f>
        <v>52390.3194457723</v>
      </c>
    </row>
    <row r="27" customFormat="false" ht="15" hidden="false" customHeight="false" outlineLevel="0" collapsed="false">
      <c r="A27" s="58" t="s">
        <v>1497</v>
      </c>
      <c r="B27" s="59"/>
      <c r="C27" s="60" t="n">
        <f aca="false">P27</f>
        <v>356262.123736437</v>
      </c>
      <c r="D27" s="60" t="n">
        <f aca="false">AB27</f>
        <v>310437.019517033</v>
      </c>
      <c r="E27" s="60" t="n">
        <f aca="false">E13+E18+E22+E26</f>
        <v>254438.879824998</v>
      </c>
      <c r="F27" s="60" t="n">
        <f aca="false">F13+F18+F22+F26</f>
        <v>261110.745478643</v>
      </c>
      <c r="G27" s="60" t="n">
        <f aca="false">G13+G18+G22+G26</f>
        <v>303554.662560305</v>
      </c>
      <c r="H27" s="60" t="n">
        <f aca="false">H13+H18+H22+H26</f>
        <v>264190.283906023</v>
      </c>
      <c r="I27" s="60" t="n">
        <f aca="false">I13+I18+I22+I26</f>
        <v>258891.94085822</v>
      </c>
      <c r="J27" s="60" t="n">
        <f aca="false">J13+J18+J22+J26</f>
        <v>290243.212207867</v>
      </c>
      <c r="K27" s="60" t="n">
        <f aca="false">K13+K18+K22+K26</f>
        <v>264786.147837961</v>
      </c>
      <c r="L27" s="60" t="n">
        <f aca="false">L13+L18+L22+L26</f>
        <v>252512.711084102</v>
      </c>
      <c r="M27" s="60" t="n">
        <f aca="false">M13+M18+M22+M26</f>
        <v>261953.374443365</v>
      </c>
      <c r="N27" s="60" t="n">
        <f aca="false">N13+N18+N22+N26</f>
        <v>270302.106374498</v>
      </c>
      <c r="O27" s="60" t="n">
        <f aca="false">O13+O18+O22+O26</f>
        <v>265600.157240182</v>
      </c>
      <c r="P27" s="60" t="n">
        <f aca="false">P13+P18+P22+P26</f>
        <v>356262.123736437</v>
      </c>
      <c r="Q27" s="60" t="n">
        <f aca="false">Q13+Q18+Q22+Q26</f>
        <v>339927.118014345</v>
      </c>
      <c r="R27" s="60" t="n">
        <f aca="false">R13+R18+R22+R26</f>
        <v>293642.2275583</v>
      </c>
      <c r="S27" s="60" t="n">
        <f aca="false">S13+S18+S22+S26</f>
        <v>329694.206969652</v>
      </c>
      <c r="T27" s="60" t="n">
        <f aca="false">T13+T18+T22+T26</f>
        <v>313508.884240631</v>
      </c>
      <c r="U27" s="60" t="n">
        <f aca="false">U13+U18+U22+U26</f>
        <v>294659.886977502</v>
      </c>
      <c r="V27" s="60" t="n">
        <f aca="false">V13+V18+V22+V26</f>
        <v>333310.962566684</v>
      </c>
      <c r="W27" s="60" t="n">
        <f aca="false">W13+W18+W22+W26</f>
        <v>310205.701613141</v>
      </c>
      <c r="X27" s="60" t="n">
        <f aca="false">X13+X18+X22+X26</f>
        <v>291864.130440875</v>
      </c>
      <c r="Y27" s="60" t="n">
        <f aca="false">Y13+Y18+Y22+Y26</f>
        <v>313709.723468482</v>
      </c>
      <c r="Z27" s="60" t="n">
        <f aca="false">Z13+Z18+Z22+Z26</f>
        <v>311233.676569059</v>
      </c>
      <c r="AA27" s="60" t="n">
        <f aca="false">AA13+AA18+AA22+AA26</f>
        <v>306969.541043862</v>
      </c>
      <c r="AB27" s="60" t="n">
        <f aca="false">AB13+AB18+AB22+AB26</f>
        <v>310437.019517033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1498</v>
      </c>
    </row>
    <row r="3" customFormat="false" ht="15" hidden="false" customHeight="false" outlineLevel="0" collapsed="false">
      <c r="A3" s="49" t="s">
        <v>1499</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1500</v>
      </c>
      <c r="B8" s="62" t="s">
        <v>1372</v>
      </c>
      <c r="C8" s="64" t="n">
        <f aca="false">SUM(E8:P8)</f>
        <v>299616.004405735</v>
      </c>
      <c r="D8" s="64" t="n">
        <f aca="false">SUM(Q8:AB8)</f>
        <v>375072.126723831</v>
      </c>
      <c r="E8" s="65" t="n">
        <f aca="false">Credits!E63+Team!E21</f>
        <v>21748.2713</v>
      </c>
      <c r="F8" s="65" t="n">
        <f aca="false">Credits!F63+Team!F21</f>
        <v>22883.1483</v>
      </c>
      <c r="G8" s="65" t="n">
        <f aca="false">Credits!G63+Team!G21</f>
        <v>23692.1879</v>
      </c>
      <c r="H8" s="65" t="n">
        <f aca="false">Credits!H63+Team!H21</f>
        <v>23430.1681</v>
      </c>
      <c r="I8" s="65" t="n">
        <f aca="false">Credits!I63+Team!I21</f>
        <v>24362.1794</v>
      </c>
      <c r="J8" s="65" t="n">
        <f aca="false">Credits!J63+Team!J21</f>
        <v>25047.1476</v>
      </c>
      <c r="K8" s="65" t="n">
        <f aca="false">Credits!K63+Team!K21</f>
        <v>25296.3032</v>
      </c>
      <c r="L8" s="65" t="n">
        <f aca="false">Credits!L63+Team!L21</f>
        <v>24871.4065</v>
      </c>
      <c r="M8" s="65" t="n">
        <f aca="false">Credits!M63+Team!M21</f>
        <v>26328.5635551519</v>
      </c>
      <c r="N8" s="65" t="n">
        <f aca="false">Credits!N63+Team!N21</f>
        <v>27010.1508764641</v>
      </c>
      <c r="O8" s="65" t="n">
        <f aca="false">Credits!O63+Team!O21</f>
        <v>27399.2132308419</v>
      </c>
      <c r="P8" s="65" t="n">
        <f aca="false">Credits!P63+Team!P21</f>
        <v>27547.264443277</v>
      </c>
      <c r="Q8" s="65" t="n">
        <f aca="false">Credits!Q63+Team!Q21</f>
        <v>28713.0123041635</v>
      </c>
      <c r="R8" s="65" t="n">
        <f aca="false">Credits!R63+Team!R21</f>
        <v>29089.8206961911</v>
      </c>
      <c r="S8" s="65" t="n">
        <f aca="false">Credits!S63+Team!S21</f>
        <v>29814.9173851731</v>
      </c>
      <c r="T8" s="65" t="n">
        <f aca="false">Credits!T63+Team!T21</f>
        <v>30008.8801733443</v>
      </c>
      <c r="U8" s="65" t="n">
        <f aca="false">Credits!U63+Team!U21</f>
        <v>30440.0917573152</v>
      </c>
      <c r="V8" s="65" t="n">
        <f aca="false">Credits!V63+Team!V21</f>
        <v>31075.5170424341</v>
      </c>
      <c r="W8" s="65" t="n">
        <f aca="false">Credits!W63+Team!W21</f>
        <v>30927.0550117359</v>
      </c>
      <c r="X8" s="65" t="n">
        <f aca="false">Credits!X63+Team!X21</f>
        <v>30351.2514949788</v>
      </c>
      <c r="Y8" s="65" t="n">
        <f aca="false">Credits!Y63+Team!Y21</f>
        <v>32908.5778105467</v>
      </c>
      <c r="Z8" s="65" t="n">
        <f aca="false">Credits!Z63+Team!Z21</f>
        <v>33662.9048082322</v>
      </c>
      <c r="AA8" s="65" t="n">
        <f aca="false">Credits!AA63+Team!AA21</f>
        <v>34018.8695684144</v>
      </c>
      <c r="AB8" s="65" t="n">
        <f aca="false">Credits!AB63+Team!AB21</f>
        <v>34061.2286713016</v>
      </c>
    </row>
    <row r="9" customFormat="false" ht="15" hidden="false" customHeight="false" outlineLevel="0" collapsed="false">
      <c r="A9" s="28" t="s">
        <v>1501</v>
      </c>
      <c r="B9" s="62" t="s">
        <v>1502</v>
      </c>
      <c r="C9" s="64" t="n">
        <f aca="false">SUM(E9:P9)</f>
        <v>202074.974166667</v>
      </c>
      <c r="D9" s="64" t="n">
        <f aca="false">SUM(Q9:AB9)</f>
        <v>289969.061112312</v>
      </c>
      <c r="E9" s="65" t="n">
        <f aca="false">Receivables!E20*Assumptions!$C$18/(1+Assumptions!$C$18)</f>
        <v>11833.3333333333</v>
      </c>
      <c r="F9" s="65" t="n">
        <f aca="false">Receivables!F20*Assumptions!$C$18/(1+Assumptions!$C$18)</f>
        <v>15666.6666666667</v>
      </c>
      <c r="G9" s="65" t="n">
        <f aca="false">Receivables!G20*Assumptions!$C$18/(1+Assumptions!$C$18)</f>
        <v>11166.6666666667</v>
      </c>
      <c r="H9" s="65" t="n">
        <f aca="false">Receivables!H20*Assumptions!$C$18/(1+Assumptions!$C$18)</f>
        <v>12166.6666666667</v>
      </c>
      <c r="I9" s="65" t="n">
        <f aca="false">Receivables!I20*Assumptions!$C$18/(1+Assumptions!$C$18)</f>
        <v>19666.6666666667</v>
      </c>
      <c r="J9" s="65" t="n">
        <f aca="false">Receivables!J20*Assumptions!$C$18/(1+Assumptions!$C$18)</f>
        <v>19166.6666666667</v>
      </c>
      <c r="K9" s="65" t="n">
        <f aca="false">Receivables!K20*Assumptions!$C$18/(1+Assumptions!$C$18)</f>
        <v>12666.6666666667</v>
      </c>
      <c r="L9" s="65" t="n">
        <f aca="false">Receivables!L20*Assumptions!$C$18/(1+Assumptions!$C$18)</f>
        <v>21000</v>
      </c>
      <c r="M9" s="65" t="n">
        <f aca="false">Receivables!M20*Assumptions!$C$18/(1+Assumptions!$C$18)</f>
        <v>19833.333</v>
      </c>
      <c r="N9" s="65" t="n">
        <f aca="false">Receivables!N20*Assumptions!$C$18/(1+Assumptions!$C$18)</f>
        <v>14774.9745</v>
      </c>
      <c r="O9" s="65" t="n">
        <f aca="false">Receivables!O20*Assumptions!$C$18/(1+Assumptions!$C$18)</f>
        <v>21000</v>
      </c>
      <c r="P9" s="65" t="n">
        <f aca="false">Receivables!P20*Assumptions!$C$18/(1+Assumptions!$C$18)</f>
        <v>23133.3333333333</v>
      </c>
      <c r="Q9" s="65" t="n">
        <f aca="false">Receivables!Q20*Assumptions!$C$18/(1+Assumptions!$C$18)</f>
        <v>19266.6666666667</v>
      </c>
      <c r="R9" s="65" t="n">
        <f aca="false">Receivables!R20*Assumptions!$C$18/(1+Assumptions!$C$18)</f>
        <v>21000</v>
      </c>
      <c r="S9" s="65" t="n">
        <f aca="false">Receivables!S20*Assumptions!$C$18/(1+Assumptions!$C$18)</f>
        <v>23186.6666666667</v>
      </c>
      <c r="T9" s="65" t="n">
        <f aca="false">Receivables!T20*Assumptions!$C$18/(1+Assumptions!$C$18)</f>
        <v>22341.5229574549</v>
      </c>
      <c r="U9" s="65" t="n">
        <f aca="false">Receivables!U20*Assumptions!$C$18/(1+Assumptions!$C$18)</f>
        <v>30116.4450093072</v>
      </c>
      <c r="V9" s="65" t="n">
        <f aca="false">Receivables!V20*Assumptions!$C$18/(1+Assumptions!$C$18)</f>
        <v>32810.4520632688</v>
      </c>
      <c r="W9" s="65" t="n">
        <f aca="false">Receivables!W20*Assumptions!$C$18/(1+Assumptions!$C$18)</f>
        <v>27233.9744156148</v>
      </c>
      <c r="X9" s="65" t="n">
        <f aca="false">Receivables!X20*Assumptions!$C$18/(1+Assumptions!$C$18)</f>
        <v>23613.3333333333</v>
      </c>
      <c r="Y9" s="65" t="n">
        <f aca="false">Receivables!Y20*Assumptions!$C$18/(1+Assumptions!$C$18)</f>
        <v>23080</v>
      </c>
      <c r="Z9" s="65" t="n">
        <f aca="false">Receivables!Z20*Assumptions!$C$18/(1+Assumptions!$C$18)</f>
        <v>20706.6666666667</v>
      </c>
      <c r="AA9" s="65" t="n">
        <f aca="false">Receivables!AA20*Assumptions!$C$18/(1+Assumptions!$C$18)</f>
        <v>23613.3333333333</v>
      </c>
      <c r="AB9" s="65" t="n">
        <f aca="false">Receivables!AB20*Assumptions!$C$18/(1+Assumptions!$C$18)</f>
        <v>23000</v>
      </c>
    </row>
    <row r="10" customFormat="false" ht="15" hidden="false" customHeight="false" outlineLevel="0" collapsed="false">
      <c r="A10" s="28" t="s">
        <v>1503</v>
      </c>
      <c r="B10" s="62" t="s">
        <v>1504</v>
      </c>
      <c r="C10" s="64" t="n">
        <f aca="false">SUM(E10:P10)</f>
        <v>-116787.667666667</v>
      </c>
      <c r="D10" s="64" t="n">
        <f aca="false">SUM(Q10:AB10)</f>
        <v>-135012.508908162</v>
      </c>
      <c r="E10" s="65" t="n">
        <f aca="false">-Payables!E25*Assumptions!$C$18/(1+Assumptions!$C$18)</f>
        <v>-8149.11166666667</v>
      </c>
      <c r="F10" s="65" t="n">
        <f aca="false">-Payables!F25*Assumptions!$C$18/(1+Assumptions!$C$18)</f>
        <v>-8669.26833333334</v>
      </c>
      <c r="G10" s="65" t="n">
        <f aca="false">-Payables!G25*Assumptions!$C$18/(1+Assumptions!$C$18)</f>
        <v>-10331</v>
      </c>
      <c r="H10" s="65" t="n">
        <f aca="false">-Payables!H25*Assumptions!$C$18/(1+Assumptions!$C$18)</f>
        <v>-15953.3166666667</v>
      </c>
      <c r="I10" s="65" t="n">
        <f aca="false">-Payables!I25*Assumptions!$C$18/(1+Assumptions!$C$18)</f>
        <v>-10431.94</v>
      </c>
      <c r="J10" s="65" t="n">
        <f aca="false">-Payables!J25*Assumptions!$C$18/(1+Assumptions!$C$18)</f>
        <v>-8800.96166666667</v>
      </c>
      <c r="K10" s="65" t="n">
        <f aca="false">-Payables!K25*Assumptions!$C$18/(1+Assumptions!$C$18)</f>
        <v>-13281.3683333333</v>
      </c>
      <c r="L10" s="65" t="n">
        <f aca="false">-Payables!L25*Assumptions!$C$18/(1+Assumptions!$C$18)</f>
        <v>-7102.10333333333</v>
      </c>
      <c r="M10" s="65" t="n">
        <f aca="false">-Payables!M25*Assumptions!$C$18/(1+Assumptions!$C$18)</f>
        <v>-6437.99766666667</v>
      </c>
      <c r="N10" s="65" t="n">
        <f aca="false">-Payables!N25*Assumptions!$C$18/(1+Assumptions!$C$18)</f>
        <v>-6700</v>
      </c>
      <c r="O10" s="65" t="n">
        <f aca="false">-Payables!O25*Assumptions!$C$18/(1+Assumptions!$C$18)</f>
        <v>-10660</v>
      </c>
      <c r="P10" s="65" t="n">
        <f aca="false">-Payables!P25*Assumptions!$C$18/(1+Assumptions!$C$18)</f>
        <v>-10270.6</v>
      </c>
      <c r="Q10" s="65" t="n">
        <f aca="false">-Payables!Q25*Assumptions!$C$18/(1+Assumptions!$C$18)</f>
        <v>-8272.1585</v>
      </c>
      <c r="R10" s="65" t="n">
        <f aca="false">-Payables!R25*Assumptions!$C$18/(1+Assumptions!$C$18)</f>
        <v>-18345.2037245833</v>
      </c>
      <c r="S10" s="65" t="n">
        <f aca="false">-Payables!S25*Assumptions!$C$18/(1+Assumptions!$C$18)</f>
        <v>-10458.2269946747</v>
      </c>
      <c r="T10" s="65" t="n">
        <f aca="false">-Payables!T25*Assumptions!$C$18/(1+Assumptions!$C$18)</f>
        <v>-14393.4619940488</v>
      </c>
      <c r="U10" s="65" t="n">
        <f aca="false">-Payables!U25*Assumptions!$C$18/(1+Assumptions!$C$18)</f>
        <v>-12544.1714118703</v>
      </c>
      <c r="V10" s="65" t="n">
        <f aca="false">-Payables!V25*Assumptions!$C$18/(1+Assumptions!$C$18)</f>
        <v>-8615.91954359569</v>
      </c>
      <c r="W10" s="65" t="n">
        <f aca="false">-Payables!W25*Assumptions!$C$18/(1+Assumptions!$C$18)</f>
        <v>-14915.6228683825</v>
      </c>
      <c r="X10" s="65" t="n">
        <f aca="false">-Payables!X25*Assumptions!$C$18/(1+Assumptions!$C$18)</f>
        <v>-10667.7267875868</v>
      </c>
      <c r="Y10" s="65" t="n">
        <f aca="false">-Payables!Y25*Assumptions!$C$18/(1+Assumptions!$C$18)</f>
        <v>-8686.76488582441</v>
      </c>
      <c r="Z10" s="65" t="n">
        <f aca="false">-Payables!Z25*Assumptions!$C$18/(1+Assumptions!$C$18)</f>
        <v>-10682.4288716758</v>
      </c>
      <c r="AA10" s="65" t="n">
        <f aca="false">-Payables!AA25*Assumptions!$C$18/(1+Assumptions!$C$18)</f>
        <v>-8715.51769981465</v>
      </c>
      <c r="AB10" s="65" t="n">
        <f aca="false">-Payables!AB25*Assumptions!$C$18/(1+Assumptions!$C$18)</f>
        <v>-8715.30562610536</v>
      </c>
    </row>
    <row r="11" customFormat="false" ht="15" hidden="false" customHeight="false" outlineLevel="0" collapsed="false">
      <c r="A11" s="28" t="s">
        <v>1505</v>
      </c>
      <c r="B11" s="62"/>
      <c r="C11" s="64" t="n">
        <f aca="false">SUM(E11:P11)</f>
        <v>-81600</v>
      </c>
      <c r="D11" s="64" t="n">
        <f aca="false">SUM(Q11:AB11)</f>
        <v>-83640</v>
      </c>
      <c r="E11" s="65" t="n">
        <f aca="false">-Overheads!E20*Assumptions!$C$18/(1+Assumptions!$C$18)</f>
        <v>-20400</v>
      </c>
      <c r="F11" s="65" t="n">
        <f aca="false">-Overheads!F20*Assumptions!$C$18/(1+Assumptions!$C$18)</f>
        <v>-0</v>
      </c>
      <c r="G11" s="65" t="n">
        <f aca="false">-Overheads!G20*Assumptions!$C$18/(1+Assumptions!$C$18)</f>
        <v>-0</v>
      </c>
      <c r="H11" s="65" t="n">
        <f aca="false">-Overheads!H20*Assumptions!$C$18/(1+Assumptions!$C$18)</f>
        <v>-20400</v>
      </c>
      <c r="I11" s="65" t="n">
        <f aca="false">-Overheads!I20*Assumptions!$C$18/(1+Assumptions!$C$18)</f>
        <v>-0</v>
      </c>
      <c r="J11" s="65" t="n">
        <f aca="false">-Overheads!J20*Assumptions!$C$18/(1+Assumptions!$C$18)</f>
        <v>-0</v>
      </c>
      <c r="K11" s="65" t="n">
        <f aca="false">-Overheads!K20*Assumptions!$C$18/(1+Assumptions!$C$18)</f>
        <v>-20400</v>
      </c>
      <c r="L11" s="65" t="n">
        <f aca="false">-Overheads!L20*Assumptions!$C$18/(1+Assumptions!$C$18)</f>
        <v>-0</v>
      </c>
      <c r="M11" s="65" t="n">
        <f aca="false">-Overheads!M20*Assumptions!$C$18/(1+Assumptions!$C$18)</f>
        <v>-0</v>
      </c>
      <c r="N11" s="65" t="n">
        <f aca="false">-Overheads!N20*Assumptions!$C$18/(1+Assumptions!$C$18)</f>
        <v>-20400</v>
      </c>
      <c r="O11" s="65" t="n">
        <f aca="false">-Overheads!O20*Assumptions!$C$18/(1+Assumptions!$C$18)</f>
        <v>-0</v>
      </c>
      <c r="P11" s="65" t="n">
        <f aca="false">-Overheads!P20*Assumptions!$C$18/(1+Assumptions!$C$18)</f>
        <v>-0</v>
      </c>
      <c r="Q11" s="65" t="n">
        <f aca="false">-Overheads!Q20*Assumptions!$C$18/(1+Assumptions!$C$18)</f>
        <v>-20910</v>
      </c>
      <c r="R11" s="65" t="n">
        <f aca="false">-Overheads!R20*Assumptions!$C$18/(1+Assumptions!$C$18)</f>
        <v>-0</v>
      </c>
      <c r="S11" s="65" t="n">
        <f aca="false">-Overheads!S20*Assumptions!$C$18/(1+Assumptions!$C$18)</f>
        <v>-0</v>
      </c>
      <c r="T11" s="65" t="n">
        <f aca="false">-Overheads!T20*Assumptions!$C$18/(1+Assumptions!$C$18)</f>
        <v>-20910</v>
      </c>
      <c r="U11" s="65" t="n">
        <f aca="false">-Overheads!U20*Assumptions!$C$18/(1+Assumptions!$C$18)</f>
        <v>-0</v>
      </c>
      <c r="V11" s="65" t="n">
        <f aca="false">-Overheads!V20*Assumptions!$C$18/(1+Assumptions!$C$18)</f>
        <v>-0</v>
      </c>
      <c r="W11" s="65" t="n">
        <f aca="false">-Overheads!W20*Assumptions!$C$18/(1+Assumptions!$C$18)</f>
        <v>-20910</v>
      </c>
      <c r="X11" s="65" t="n">
        <f aca="false">-Overheads!X20*Assumptions!$C$18/(1+Assumptions!$C$18)</f>
        <v>-0</v>
      </c>
      <c r="Y11" s="65" t="n">
        <f aca="false">-Overheads!Y20*Assumptions!$C$18/(1+Assumptions!$C$18)</f>
        <v>-0</v>
      </c>
      <c r="Z11" s="65" t="n">
        <f aca="false">-Overheads!Z20*Assumptions!$C$18/(1+Assumptions!$C$18)</f>
        <v>-20910</v>
      </c>
      <c r="AA11" s="65" t="n">
        <f aca="false">-Overheads!AA20*Assumptions!$C$18/(1+Assumptions!$C$18)</f>
        <v>-0</v>
      </c>
      <c r="AB11" s="65" t="n">
        <f aca="false">-Overheads!AB20*Assumptions!$C$18/(1+Assumptions!$C$18)</f>
        <v>-0</v>
      </c>
    </row>
    <row r="12" customFormat="false" ht="15" hidden="false" customHeight="false" outlineLevel="0" collapsed="false">
      <c r="A12" s="58" t="s">
        <v>1506</v>
      </c>
      <c r="B12" s="59"/>
      <c r="C12" s="60" t="n">
        <f aca="false">SUM(E12:P12)</f>
        <v>303303.310905735</v>
      </c>
      <c r="D12" s="60" t="n">
        <f aca="false">SUM(Q12:AB12)</f>
        <v>446388.678927981</v>
      </c>
      <c r="E12" s="60" t="n">
        <f aca="false">SUM(E8:E11)</f>
        <v>5032.49296666667</v>
      </c>
      <c r="F12" s="60" t="n">
        <f aca="false">SUM(F8:F11)</f>
        <v>29880.5466333333</v>
      </c>
      <c r="G12" s="60" t="n">
        <f aca="false">SUM(G8:G11)</f>
        <v>24527.8545666667</v>
      </c>
      <c r="H12" s="60" t="n">
        <f aca="false">SUM(H8:H11)</f>
        <v>-756.481899999999</v>
      </c>
      <c r="I12" s="60" t="n">
        <f aca="false">SUM(I8:I11)</f>
        <v>33596.9060666667</v>
      </c>
      <c r="J12" s="60" t="n">
        <f aca="false">SUM(J8:J11)</f>
        <v>35412.8526</v>
      </c>
      <c r="K12" s="60" t="n">
        <f aca="false">SUM(K8:K11)</f>
        <v>4281.60153333333</v>
      </c>
      <c r="L12" s="60" t="n">
        <f aca="false">SUM(L8:L11)</f>
        <v>38769.3031666667</v>
      </c>
      <c r="M12" s="60" t="n">
        <f aca="false">SUM(M8:M11)</f>
        <v>39723.8988884853</v>
      </c>
      <c r="N12" s="60" t="n">
        <f aca="false">SUM(N8:N11)</f>
        <v>14685.1253764641</v>
      </c>
      <c r="O12" s="60" t="n">
        <f aca="false">SUM(O8:O11)</f>
        <v>37739.2132308419</v>
      </c>
      <c r="P12" s="60" t="n">
        <f aca="false">SUM(P8:P11)</f>
        <v>40409.9977766103</v>
      </c>
      <c r="Q12" s="60" t="n">
        <f aca="false">SUM(Q8:Q11)</f>
        <v>18797.5204708302</v>
      </c>
      <c r="R12" s="60" t="n">
        <f aca="false">SUM(R8:R11)</f>
        <v>31744.6169716078</v>
      </c>
      <c r="S12" s="60" t="n">
        <f aca="false">SUM(S8:S11)</f>
        <v>42543.3570571651</v>
      </c>
      <c r="T12" s="60" t="n">
        <f aca="false">SUM(T8:T11)</f>
        <v>17046.9411367504</v>
      </c>
      <c r="U12" s="60" t="n">
        <f aca="false">SUM(U8:U11)</f>
        <v>48012.3653547521</v>
      </c>
      <c r="V12" s="60" t="n">
        <f aca="false">SUM(V8:V11)</f>
        <v>55270.0495621072</v>
      </c>
      <c r="W12" s="60" t="n">
        <f aca="false">SUM(W8:W11)</f>
        <v>22335.4065589683</v>
      </c>
      <c r="X12" s="60" t="n">
        <f aca="false">SUM(X8:X11)</f>
        <v>43296.8580407252</v>
      </c>
      <c r="Y12" s="60" t="n">
        <f aca="false">SUM(Y8:Y11)</f>
        <v>47301.8129247223</v>
      </c>
      <c r="Z12" s="60" t="n">
        <f aca="false">SUM(Z8:Z11)</f>
        <v>22777.1426032231</v>
      </c>
      <c r="AA12" s="60" t="n">
        <f aca="false">SUM(AA8:AA11)</f>
        <v>48916.685201933</v>
      </c>
      <c r="AB12" s="60" t="n">
        <f aca="false">SUM(AB8:AB11)</f>
        <v>48345.9230451962</v>
      </c>
    </row>
    <row r="13" customFormat="false" ht="15" hidden="false" customHeight="false" outlineLevel="0" collapsed="false">
      <c r="A13" s="28" t="s">
        <v>1507</v>
      </c>
      <c r="B13" s="62" t="s">
        <v>1508</v>
      </c>
      <c r="C13" s="64" t="n">
        <f aca="false">SUM(E13:P13)</f>
        <v>286708.453129125</v>
      </c>
      <c r="D13" s="64" t="n">
        <f aca="false">SUM(Q13:AB13)</f>
        <v>438452.753659395</v>
      </c>
      <c r="E13" s="65" t="n">
        <f aca="false">IF(E$5="A",Inputs_Actuals!E171,MAX(0,Inputs_Actuals!$C$192))</f>
        <v>23815.14</v>
      </c>
      <c r="F13" s="65" t="n">
        <f aca="false">IF(F$5="A",Inputs_Actuals!F171,MAX(0,E14))</f>
        <v>5032.49</v>
      </c>
      <c r="G13" s="65" t="n">
        <f aca="false">IF(G$5="A",Inputs_Actuals!G171,MAX(0,F14))</f>
        <v>29880.54</v>
      </c>
      <c r="H13" s="65" t="n">
        <f aca="false">IF(H$5="A",Inputs_Actuals!H171,MAX(0,G14))</f>
        <v>24527.85</v>
      </c>
      <c r="I13" s="65" t="n">
        <f aca="false">IF(I$5="A",Inputs_Actuals!I171,MAX(0,H14))</f>
        <v>0</v>
      </c>
      <c r="J13" s="65" t="n">
        <f aca="false">IF(J$5="A",Inputs_Actuals!J171,MAX(0,I14))</f>
        <v>32840.42</v>
      </c>
      <c r="K13" s="65" t="n">
        <f aca="false">IF(K$5="A",Inputs_Actuals!K171,MAX(0,J14))</f>
        <v>35412.85</v>
      </c>
      <c r="L13" s="65" t="n">
        <f aca="false">IF(L$5="A",Inputs_Actuals!L171,MAX(0,K14))</f>
        <v>4281.6</v>
      </c>
      <c r="M13" s="65" t="n">
        <f aca="false">IF(M$5="A",Inputs_Actuals!M171,MAX(0,L14))</f>
        <v>38769.3256333333</v>
      </c>
      <c r="N13" s="65" t="n">
        <f aca="false">IF(N$5="A",Inputs_Actuals!N171,MAX(0,M14))</f>
        <v>39723.8988884853</v>
      </c>
      <c r="O13" s="65" t="n">
        <f aca="false">IF(O$5="A",Inputs_Actuals!O171,MAX(0,N14))</f>
        <v>14685.1253764641</v>
      </c>
      <c r="P13" s="65" t="n">
        <f aca="false">IF(P$5="A",Inputs_Actuals!P171,MAX(0,O14))</f>
        <v>37739.2132308419</v>
      </c>
      <c r="Q13" s="65" t="n">
        <f aca="false">IF(Q$5="A",Inputs_Actuals!Q171,MAX(0,P14))</f>
        <v>40409.9977766103</v>
      </c>
      <c r="R13" s="65" t="n">
        <f aca="false">IF(R$5="A",Inputs_Actuals!R171,MAX(0,Q14))</f>
        <v>18797.5204708302</v>
      </c>
      <c r="S13" s="65" t="n">
        <f aca="false">IF(S$5="A",Inputs_Actuals!S171,MAX(0,R14))</f>
        <v>31744.6169716078</v>
      </c>
      <c r="T13" s="65" t="n">
        <f aca="false">IF(T$5="A",Inputs_Actuals!T171,MAX(0,S14))</f>
        <v>42543.3570571651</v>
      </c>
      <c r="U13" s="65" t="n">
        <f aca="false">IF(U$5="A",Inputs_Actuals!U171,MAX(0,T14))</f>
        <v>17046.9411367504</v>
      </c>
      <c r="V13" s="65" t="n">
        <f aca="false">IF(V$5="A",Inputs_Actuals!V171,MAX(0,U14))</f>
        <v>48012.3653547521</v>
      </c>
      <c r="W13" s="65" t="n">
        <f aca="false">IF(W$5="A",Inputs_Actuals!W171,MAX(0,V14))</f>
        <v>55270.0495621072</v>
      </c>
      <c r="X13" s="65" t="n">
        <f aca="false">IF(X$5="A",Inputs_Actuals!X171,MAX(0,W14))</f>
        <v>22335.4065589683</v>
      </c>
      <c r="Y13" s="65" t="n">
        <f aca="false">IF(Y$5="A",Inputs_Actuals!Y171,MAX(0,X14))</f>
        <v>43296.8580407252</v>
      </c>
      <c r="Z13" s="65" t="n">
        <f aca="false">IF(Z$5="A",Inputs_Actuals!Z171,MAX(0,Y14))</f>
        <v>47301.8129247223</v>
      </c>
      <c r="AA13" s="65" t="n">
        <f aca="false">IF(AA$5="A",Inputs_Actuals!AA171,MAX(0,Z14))</f>
        <v>22777.1426032231</v>
      </c>
      <c r="AB13" s="65" t="n">
        <f aca="false">IF(AB$5="A",Inputs_Actuals!AB171,MAX(0,AA14))</f>
        <v>48916.6852019331</v>
      </c>
    </row>
    <row r="14" customFormat="false" ht="15" hidden="false" customHeight="false" outlineLevel="0" collapsed="false">
      <c r="A14" s="58" t="s">
        <v>1509</v>
      </c>
      <c r="B14" s="59"/>
      <c r="C14" s="60" t="n">
        <f aca="false">P14</f>
        <v>40409.9977766103</v>
      </c>
      <c r="D14" s="60" t="n">
        <f aca="false">AB14</f>
        <v>48345.9230451962</v>
      </c>
      <c r="E14" s="61" t="n">
        <f aca="false">Inputs_Actuals!$C$192+E12-E13</f>
        <v>5032.49296666667</v>
      </c>
      <c r="F14" s="60" t="n">
        <f aca="false">E14+F12-F13</f>
        <v>29880.5496</v>
      </c>
      <c r="G14" s="60" t="n">
        <f aca="false">F14+G12-G13</f>
        <v>24527.8641666667</v>
      </c>
      <c r="H14" s="60" t="n">
        <f aca="false">G14+H12-H13</f>
        <v>-756.467733333324</v>
      </c>
      <c r="I14" s="60" t="n">
        <f aca="false">H14+I12-I13</f>
        <v>32840.4383333333</v>
      </c>
      <c r="J14" s="60" t="n">
        <f aca="false">I14+J12-J13</f>
        <v>35412.8709333333</v>
      </c>
      <c r="K14" s="60" t="n">
        <f aca="false">J14+K12-K13</f>
        <v>4281.62246666668</v>
      </c>
      <c r="L14" s="60" t="n">
        <f aca="false">K14+L12-L13</f>
        <v>38769.3256333333</v>
      </c>
      <c r="M14" s="60" t="n">
        <f aca="false">L14+M12-M13</f>
        <v>39723.8988884853</v>
      </c>
      <c r="N14" s="60" t="n">
        <f aca="false">M14+N12-N13</f>
        <v>14685.1253764641</v>
      </c>
      <c r="O14" s="60" t="n">
        <f aca="false">N14+O12-O13</f>
        <v>37739.2132308419</v>
      </c>
      <c r="P14" s="60" t="n">
        <f aca="false">O14+P12-P13</f>
        <v>40409.9977766103</v>
      </c>
      <c r="Q14" s="60" t="n">
        <f aca="false">P14+Q12-Q13</f>
        <v>18797.5204708302</v>
      </c>
      <c r="R14" s="60" t="n">
        <f aca="false">Q14+R12-R13</f>
        <v>31744.6169716078</v>
      </c>
      <c r="S14" s="60" t="n">
        <f aca="false">R14+S12-S13</f>
        <v>42543.3570571651</v>
      </c>
      <c r="T14" s="60" t="n">
        <f aca="false">S14+T12-T13</f>
        <v>17046.9411367504</v>
      </c>
      <c r="U14" s="60" t="n">
        <f aca="false">T14+U12-U13</f>
        <v>48012.3653547521</v>
      </c>
      <c r="V14" s="60" t="n">
        <f aca="false">U14+V12-V13</f>
        <v>55270.0495621072</v>
      </c>
      <c r="W14" s="60" t="n">
        <f aca="false">V14+W12-W13</f>
        <v>22335.4065589683</v>
      </c>
      <c r="X14" s="60" t="n">
        <f aca="false">W14+X12-X13</f>
        <v>43296.8580407252</v>
      </c>
      <c r="Y14" s="60" t="n">
        <f aca="false">X14+Y12-Y13</f>
        <v>47301.8129247223</v>
      </c>
      <c r="Z14" s="60" t="n">
        <f aca="false">Y14+Z12-Z13</f>
        <v>22777.1426032231</v>
      </c>
      <c r="AA14" s="60" t="n">
        <f aca="false">Z14+AA12-AA13</f>
        <v>48916.6852019331</v>
      </c>
      <c r="AB14" s="60" t="n">
        <f aca="false">AA14+AB12-AB13</f>
        <v>48345.9230451962</v>
      </c>
    </row>
    <row r="15" customFormat="false" ht="15" hidden="false" customHeight="false" outlineLevel="0" collapsed="false">
      <c r="A15" s="28" t="s">
        <v>1510</v>
      </c>
      <c r="B15" s="62"/>
      <c r="C15" s="64" t="n">
        <f aca="false">SUM(E15:P15)</f>
        <v>0</v>
      </c>
      <c r="D15" s="64" t="n">
        <f aca="false">SUM(Q15:AB15)</f>
        <v>0</v>
      </c>
      <c r="E15" s="65" t="n">
        <f aca="false">ROUND(E14-E12-MIN(0,Inputs_Actuals!$C$192),0)</f>
        <v>0</v>
      </c>
      <c r="F15" s="73" t="n">
        <f aca="false">ROUND(F14-F12-MIN(0,E14),0)</f>
        <v>0</v>
      </c>
      <c r="G15" s="73" t="n">
        <f aca="false">ROUND(G14-G12-MIN(0,F14),0)</f>
        <v>0</v>
      </c>
      <c r="H15" s="73" t="n">
        <f aca="false">ROUND(H14-H12-MIN(0,G14),0)</f>
        <v>0</v>
      </c>
      <c r="I15" s="73" t="n">
        <f aca="false">ROUND(I14-I12-MIN(0,H14),0)</f>
        <v>0</v>
      </c>
      <c r="J15" s="73" t="n">
        <f aca="false">ROUND(J14-J12-MIN(0,I14),0)</f>
        <v>0</v>
      </c>
      <c r="K15" s="73" t="n">
        <f aca="false">ROUND(K14-K12-MIN(0,J14),0)</f>
        <v>0</v>
      </c>
      <c r="L15" s="73" t="n">
        <f aca="false">ROUND(L14-L12-MIN(0,K14),0)</f>
        <v>0</v>
      </c>
      <c r="M15" s="73" t="n">
        <f aca="false">ROUND(M14-M12-MIN(0,L14),0)</f>
        <v>0</v>
      </c>
      <c r="N15" s="73" t="n">
        <f aca="false">ROUND(N14-N12-MIN(0,M14),0)</f>
        <v>0</v>
      </c>
      <c r="O15" s="73" t="n">
        <f aca="false">ROUND(O14-O12-MIN(0,N14),0)</f>
        <v>0</v>
      </c>
      <c r="P15" s="73" t="n">
        <f aca="false">ROUND(P14-P12-MIN(0,O14),0)</f>
        <v>0</v>
      </c>
      <c r="Q15" s="73" t="n">
        <f aca="false">ROUND(Q14-Q12-MIN(0,P14),0)</f>
        <v>0</v>
      </c>
      <c r="R15" s="73" t="n">
        <f aca="false">ROUND(R14-R12-MIN(0,Q14),0)</f>
        <v>0</v>
      </c>
      <c r="S15" s="73" t="n">
        <f aca="false">ROUND(S14-S12-MIN(0,R14),0)</f>
        <v>0</v>
      </c>
      <c r="T15" s="73" t="n">
        <f aca="false">ROUND(T14-T12-MIN(0,S14),0)</f>
        <v>0</v>
      </c>
      <c r="U15" s="73" t="n">
        <f aca="false">ROUND(U14-U12-MIN(0,T14),0)</f>
        <v>0</v>
      </c>
      <c r="V15" s="73" t="n">
        <f aca="false">ROUND(V14-V12-MIN(0,U14),0)</f>
        <v>0</v>
      </c>
      <c r="W15" s="73" t="n">
        <f aca="false">ROUND(W14-W12-MIN(0,V14),0)</f>
        <v>0</v>
      </c>
      <c r="X15" s="73" t="n">
        <f aca="false">ROUND(X14-X12-MIN(0,W14),0)</f>
        <v>0</v>
      </c>
      <c r="Y15" s="73" t="n">
        <f aca="false">ROUND(Y14-Y12-MIN(0,X14),0)</f>
        <v>0</v>
      </c>
      <c r="Z15" s="73" t="n">
        <f aca="false">ROUND(Z14-Z12-MIN(0,Y14),0)</f>
        <v>0</v>
      </c>
      <c r="AA15" s="73" t="n">
        <f aca="false">ROUND(AA14-AA12-MIN(0,Z14),0)</f>
        <v>0</v>
      </c>
      <c r="AB15" s="73" t="n">
        <f aca="false">ROUND(AB14-AB12-MIN(0,AA14),0)</f>
        <v>0</v>
      </c>
    </row>
    <row r="16" customFormat="false" ht="15" hidden="false" customHeight="false" outlineLevel="0" collapsed="false">
      <c r="A16" s="28" t="s">
        <v>1511</v>
      </c>
      <c r="B16" s="62" t="s">
        <v>1512</v>
      </c>
      <c r="C16" s="64" t="n">
        <f aca="false">P16</f>
        <v>8272.1585</v>
      </c>
      <c r="D16" s="64" t="n">
        <f aca="false">AB16</f>
        <v>8731.71990762873</v>
      </c>
      <c r="E16" s="65" t="n">
        <f aca="false">Payables!E26*Assumptions!$C$18/(1+Assumptions!$C$18)</f>
        <v>8669.268</v>
      </c>
      <c r="F16" s="65" t="n">
        <f aca="false">Payables!F26*Assumptions!$C$18/(1+Assumptions!$C$18)</f>
        <v>10330.9996666667</v>
      </c>
      <c r="G16" s="65" t="n">
        <f aca="false">Payables!G26*Assumptions!$C$18/(1+Assumptions!$C$18)</f>
        <v>15953.3156666667</v>
      </c>
      <c r="H16" s="65" t="n">
        <f aca="false">Payables!H26*Assumptions!$C$18/(1+Assumptions!$C$18)</f>
        <v>10431.939</v>
      </c>
      <c r="I16" s="65" t="n">
        <f aca="false">Payables!I26*Assumptions!$C$18/(1+Assumptions!$C$18)</f>
        <v>8800.961</v>
      </c>
      <c r="J16" s="65" t="n">
        <f aca="false">Payables!J26*Assumptions!$C$18/(1+Assumptions!$C$18)</f>
        <v>13281.3673333333</v>
      </c>
      <c r="K16" s="65" t="n">
        <f aca="false">Payables!K26*Assumptions!$C$18/(1+Assumptions!$C$18)</f>
        <v>7102.103</v>
      </c>
      <c r="L16" s="65" t="n">
        <f aca="false">Payables!L26*Assumptions!$C$18/(1+Assumptions!$C$18)</f>
        <v>6437.99766666667</v>
      </c>
      <c r="M16" s="65" t="n">
        <f aca="false">Payables!M26*Assumptions!$C$18/(1+Assumptions!$C$18)</f>
        <v>6700</v>
      </c>
      <c r="N16" s="65" t="n">
        <f aca="false">Payables!N26*Assumptions!$C$18/(1+Assumptions!$C$18)</f>
        <v>10660</v>
      </c>
      <c r="O16" s="65" t="n">
        <f aca="false">Payables!O26*Assumptions!$C$18/(1+Assumptions!$C$18)</f>
        <v>10270.6</v>
      </c>
      <c r="P16" s="65" t="n">
        <f aca="false">Payables!P26*Assumptions!$C$18/(1+Assumptions!$C$18)</f>
        <v>8272.1585</v>
      </c>
      <c r="Q16" s="65" t="n">
        <f aca="false">Payables!Q26*Assumptions!$C$18/(1+Assumptions!$C$18)</f>
        <v>18345.2037245833</v>
      </c>
      <c r="R16" s="65" t="n">
        <f aca="false">Payables!R26*Assumptions!$C$18/(1+Assumptions!$C$18)</f>
        <v>10458.2269946747</v>
      </c>
      <c r="S16" s="65" t="n">
        <f aca="false">Payables!S26*Assumptions!$C$18/(1+Assumptions!$C$18)</f>
        <v>14393.4619940488</v>
      </c>
      <c r="T16" s="65" t="n">
        <f aca="false">Payables!T26*Assumptions!$C$18/(1+Assumptions!$C$18)</f>
        <v>12544.1714118703</v>
      </c>
      <c r="U16" s="65" t="n">
        <f aca="false">Payables!U26*Assumptions!$C$18/(1+Assumptions!$C$18)</f>
        <v>8615.91954359569</v>
      </c>
      <c r="V16" s="65" t="n">
        <f aca="false">Payables!V26*Assumptions!$C$18/(1+Assumptions!$C$18)</f>
        <v>14915.6228683825</v>
      </c>
      <c r="W16" s="65" t="n">
        <f aca="false">Payables!W26*Assumptions!$C$18/(1+Assumptions!$C$18)</f>
        <v>10667.7267875868</v>
      </c>
      <c r="X16" s="65" t="n">
        <f aca="false">Payables!X26*Assumptions!$C$18/(1+Assumptions!$C$18)</f>
        <v>8686.76488582441</v>
      </c>
      <c r="Y16" s="65" t="n">
        <f aca="false">Payables!Y26*Assumptions!$C$18/(1+Assumptions!$C$18)</f>
        <v>10682.4288716758</v>
      </c>
      <c r="Z16" s="65" t="n">
        <f aca="false">Payables!Z26*Assumptions!$C$18/(1+Assumptions!$C$18)</f>
        <v>8715.51769981465</v>
      </c>
      <c r="AA16" s="65" t="n">
        <f aca="false">Payables!AA26*Assumptions!$C$18/(1+Assumptions!$C$18)</f>
        <v>8715.30562610536</v>
      </c>
      <c r="AB16" s="65" t="n">
        <f aca="false">Payables!AB26*Assumptions!$C$18/(1+Assumptions!$C$18)</f>
        <v>8731.71990762873</v>
      </c>
    </row>
    <row r="17" customFormat="false" ht="15" hidden="false" customHeight="false" outlineLevel="0" collapsed="false">
      <c r="A17" s="28" t="s">
        <v>1513</v>
      </c>
      <c r="B17" s="62" t="s">
        <v>531</v>
      </c>
      <c r="C17" s="64" t="n">
        <f aca="false">SUM(E17:P17)</f>
        <v>474355.227982651</v>
      </c>
      <c r="D17" s="64" t="n">
        <f aca="false">SUM(Q17:AB17)</f>
        <v>560206.131416964</v>
      </c>
      <c r="E17" s="65" t="n">
        <f aca="false">Assumptions!$C$18*(Usage_Compute!E47+Overheads!E9+Overheads!E10)</f>
        <v>38096.7143649996</v>
      </c>
      <c r="F17" s="65" t="n">
        <f aca="false">Assumptions!$C$18*(Usage_Compute!F47+Overheads!F9+Overheads!F10)</f>
        <v>37426.6254957287</v>
      </c>
      <c r="G17" s="65" t="n">
        <f aca="false">Assumptions!$C$18*(Usage_Compute!G47+Overheads!G9+Overheads!G10)</f>
        <v>39188.0377120609</v>
      </c>
      <c r="H17" s="65" t="n">
        <f aca="false">Assumptions!$C$18*(Usage_Compute!H47+Overheads!H9+Overheads!H10)</f>
        <v>38232.5519812046</v>
      </c>
      <c r="I17" s="65" t="n">
        <f aca="false">Assumptions!$C$18*(Usage_Compute!I47+Overheads!I9+Overheads!I10)</f>
        <v>39048.344971644</v>
      </c>
      <c r="J17" s="65" t="n">
        <f aca="false">Assumptions!$C$18*(Usage_Compute!J47+Overheads!J9+Overheads!J10)</f>
        <v>40105.1436415733</v>
      </c>
      <c r="K17" s="65" t="n">
        <f aca="false">Assumptions!$C$18*(Usage_Compute!K47+Overheads!K9+Overheads!K10)</f>
        <v>42262.5399675922</v>
      </c>
      <c r="L17" s="65" t="n">
        <f aca="false">Assumptions!$C$18*(Usage_Compute!L47+Overheads!L9+Overheads!L10)</f>
        <v>40859.4170168205</v>
      </c>
      <c r="M17" s="65" t="n">
        <f aca="false">Assumptions!$C$18*(Usage_Compute!M47+Overheads!M9+Overheads!M10)</f>
        <v>42150.6748886729</v>
      </c>
      <c r="N17" s="65" t="n">
        <f aca="false">Assumptions!$C$18*(Usage_Compute!N47+Overheads!N9+Overheads!N10)</f>
        <v>39068.4212748996</v>
      </c>
      <c r="O17" s="65" t="n">
        <f aca="false">Assumptions!$C$18*(Usage_Compute!O47+Overheads!O9+Overheads!O10)</f>
        <v>38595.3114480365</v>
      </c>
      <c r="P17" s="65" t="n">
        <f aca="false">Assumptions!$C$18*(Usage_Compute!P47+Overheads!P9+Overheads!P10)</f>
        <v>39321.4452194178</v>
      </c>
      <c r="Q17" s="65" t="n">
        <f aca="false">Assumptions!$C$18*(Usage_Compute!Q47+Overheads!Q9+Overheads!Q10)</f>
        <v>43716.1791333689</v>
      </c>
      <c r="R17" s="65" t="n">
        <f aca="false">Assumptions!$C$18*(Usage_Compute!R47+Overheads!R9+Overheads!R10)</f>
        <v>43923.5731180505</v>
      </c>
      <c r="S17" s="65" t="n">
        <f aca="false">Assumptions!$C$18*(Usage_Compute!S47+Overheads!S9+Overheads!S10)</f>
        <v>46411.6870010718</v>
      </c>
      <c r="T17" s="65" t="n">
        <f aca="false">Assumptions!$C$18*(Usage_Compute!T47+Overheads!T9+Overheads!T10)</f>
        <v>45393.7711538819</v>
      </c>
      <c r="U17" s="65" t="n">
        <f aca="false">Assumptions!$C$18*(Usage_Compute!U47+Overheads!U9+Overheads!U10)</f>
        <v>46337.8739431855</v>
      </c>
      <c r="V17" s="65" t="n">
        <f aca="false">Assumptions!$C$18*(Usage_Compute!V47+Overheads!V9+Overheads!V10)</f>
        <v>46508.4450712779</v>
      </c>
      <c r="W17" s="65" t="n">
        <f aca="false">Assumptions!$C$18*(Usage_Compute!W47+Overheads!W9+Overheads!W10)</f>
        <v>46984.868177524</v>
      </c>
      <c r="X17" s="65" t="n">
        <f aca="false">Assumptions!$C$18*(Usage_Compute!X47+Overheads!X9+Overheads!X10)</f>
        <v>45693.7082251856</v>
      </c>
      <c r="Y17" s="65" t="n">
        <f aca="false">Assumptions!$C$18*(Usage_Compute!Y47+Overheads!Y9+Overheads!Y10)</f>
        <v>47668.0300476854</v>
      </c>
      <c r="Z17" s="65" t="n">
        <f aca="false">Assumptions!$C$18*(Usage_Compute!Z47+Overheads!Z9+Overheads!Z10)</f>
        <v>49533.1140740342</v>
      </c>
      <c r="AA17" s="65" t="n">
        <f aca="false">Assumptions!$C$18*(Usage_Compute!AA47+Overheads!AA9+Overheads!AA10)</f>
        <v>48680.541457446</v>
      </c>
      <c r="AB17" s="65" t="n">
        <f aca="false">Assumptions!$C$18*(Usage_Compute!AB47+Overheads!AB9+Overheads!AB10)</f>
        <v>49354.3400142521</v>
      </c>
    </row>
    <row r="18" customFormat="false" ht="15" hidden="false" customHeight="false" outlineLevel="0" collapsed="false">
      <c r="A18" s="28" t="s">
        <v>1514</v>
      </c>
      <c r="B18" s="62" t="s">
        <v>531</v>
      </c>
      <c r="C18" s="64" t="n">
        <f aca="false">SUM(E18:P18)</f>
        <v>3127088.55823862</v>
      </c>
      <c r="D18" s="64" t="n">
        <f aca="false">SUM(Q18:AB18)</f>
        <v>4151126.09626999</v>
      </c>
      <c r="E18" s="65" t="n">
        <f aca="false">Credits!E64+Team!E22+Enterprise!E206</f>
        <v>247024.8205</v>
      </c>
      <c r="F18" s="65" t="n">
        <f aca="false">Credits!F64+Team!F22+Enterprise!F206</f>
        <v>266270.1205</v>
      </c>
      <c r="G18" s="65" t="n">
        <f aca="false">Credits!G64+Team!G22+Enterprise!G206</f>
        <v>189005.6535</v>
      </c>
      <c r="H18" s="65" t="n">
        <f aca="false">Credits!H64+Team!H22+Enterprise!H206</f>
        <v>252062.4965</v>
      </c>
      <c r="I18" s="65" t="n">
        <f aca="false">Credits!I64+Team!I22+Enterprise!I206</f>
        <v>263606.2685</v>
      </c>
      <c r="J18" s="65" t="n">
        <f aca="false">Credits!J64+Team!J22+Enterprise!J206</f>
        <v>196383.057</v>
      </c>
      <c r="K18" s="65" t="n">
        <f aca="false">Credits!K64+Team!K22+Enterprise!K206</f>
        <v>335363.196</v>
      </c>
      <c r="L18" s="65" t="n">
        <f aca="false">Credits!L64+Team!L22+Enterprise!L206</f>
        <v>267870.782</v>
      </c>
      <c r="M18" s="65" t="n">
        <f aca="false">Credits!M64+Team!M22+Enterprise!M206</f>
        <v>202717.968822295</v>
      </c>
      <c r="N18" s="65" t="n">
        <f aca="false">Credits!N64+Team!N22+Enterprise!N206</f>
        <v>347898.020283778</v>
      </c>
      <c r="O18" s="65" t="n">
        <f aca="false">Credits!O64+Team!O22+Enterprise!O206</f>
        <v>284131.75173128</v>
      </c>
      <c r="P18" s="65" t="n">
        <f aca="false">Credits!P64+Team!P22+Enterprise!P206</f>
        <v>274754.422901268</v>
      </c>
      <c r="Q18" s="65" t="n">
        <f aca="false">Credits!Q64+Team!Q22+Enterprise!Q206</f>
        <v>398125.70140494</v>
      </c>
      <c r="R18" s="65" t="n">
        <f aca="false">Credits!R64+Team!R22+Enterprise!R206</f>
        <v>354948.726474954</v>
      </c>
      <c r="S18" s="65" t="n">
        <f aca="false">Credits!S64+Team!S22+Enterprise!S206</f>
        <v>269904.526947437</v>
      </c>
      <c r="T18" s="65" t="n">
        <f aca="false">Credits!T64+Team!T22+Enterprise!T206</f>
        <v>367109.059166186</v>
      </c>
      <c r="U18" s="65" t="n">
        <f aca="false">Credits!U64+Team!U22+Enterprise!U206</f>
        <v>388652.911545668</v>
      </c>
      <c r="V18" s="65" t="n">
        <f aca="false">Credits!V64+Team!V22+Enterprise!V206</f>
        <v>253711.938207129</v>
      </c>
      <c r="W18" s="65" t="n">
        <f aca="false">Credits!W64+Team!W22+Enterprise!W206</f>
        <v>366550.489946248</v>
      </c>
      <c r="X18" s="65" t="n">
        <f aca="false">Credits!X64+Team!X22+Enterprise!X206</f>
        <v>371412.612768354</v>
      </c>
      <c r="Y18" s="65" t="n">
        <f aca="false">Credits!Y64+Team!Y22+Enterprise!Y206</f>
        <v>263148.02926207</v>
      </c>
      <c r="Z18" s="65" t="n">
        <f aca="false">Credits!Z64+Team!Z22+Enterprise!Z206</f>
        <v>390894.637646049</v>
      </c>
      <c r="AA18" s="65" t="n">
        <f aca="false">Credits!AA64+Team!AA22+Enterprise!AA206</f>
        <v>419629.561098119</v>
      </c>
      <c r="AB18" s="65" t="n">
        <f aca="false">Credits!AB64+Team!AB22+Enterprise!AB206</f>
        <v>307037.901802832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1515</v>
      </c>
    </row>
    <row r="3" customFormat="false" ht="15" hidden="false" customHeight="false" outlineLevel="0" collapsed="false">
      <c r="A3" s="49" t="s">
        <v>1516</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1517</v>
      </c>
      <c r="B8" s="62" t="s">
        <v>30</v>
      </c>
      <c r="C8" s="64" t="n">
        <f aca="false">SUM(E8:P8)</f>
        <v>-4388400.21166922</v>
      </c>
      <c r="D8" s="64" t="n">
        <f aca="false">SUM(Q8:AB8)</f>
        <v>-4121188.63571631</v>
      </c>
      <c r="E8" s="65" t="n">
        <f aca="false">PL!E52</f>
        <v>-369611.010645337</v>
      </c>
      <c r="F8" s="65" t="n">
        <f aca="false">PL!F52</f>
        <v>-418177.558624932</v>
      </c>
      <c r="G8" s="65" t="n">
        <f aca="false">PL!G52</f>
        <v>-423051.525927534</v>
      </c>
      <c r="H8" s="65" t="n">
        <f aca="false">PL!H52</f>
        <v>-448978.473443989</v>
      </c>
      <c r="I8" s="65" t="n">
        <f aca="false">PL!I52</f>
        <v>-353145.687932848</v>
      </c>
      <c r="J8" s="65" t="n">
        <f aca="false">PL!J52</f>
        <v>-467837.820963879</v>
      </c>
      <c r="K8" s="65" t="n">
        <f aca="false">PL!K52</f>
        <v>-353379.487255932</v>
      </c>
      <c r="L8" s="65" t="n">
        <f aca="false">PL!L52</f>
        <v>-175248.773034354</v>
      </c>
      <c r="M8" s="65" t="n">
        <f aca="false">PL!M52</f>
        <v>-285118.116892674</v>
      </c>
      <c r="N8" s="65" t="n">
        <f aca="false">PL!N52</f>
        <v>-389923.20983172</v>
      </c>
      <c r="O8" s="65" t="n">
        <f aca="false">PL!O52</f>
        <v>-386359.30002434</v>
      </c>
      <c r="P8" s="65" t="n">
        <f aca="false">PL!P52</f>
        <v>-317569.247091677</v>
      </c>
      <c r="Q8" s="65" t="n">
        <f aca="false">PL!Q52</f>
        <v>-419467.782872655</v>
      </c>
      <c r="R8" s="65" t="n">
        <f aca="false">PL!R52</f>
        <v>-424656.684567895</v>
      </c>
      <c r="S8" s="65" t="n">
        <f aca="false">PL!S52</f>
        <v>-323035.237876854</v>
      </c>
      <c r="T8" s="65" t="n">
        <f aca="false">PL!T52</f>
        <v>-424060.270219029</v>
      </c>
      <c r="U8" s="65" t="n">
        <f aca="false">PL!U52</f>
        <v>-343723.989177943</v>
      </c>
      <c r="V8" s="65" t="n">
        <f aca="false">PL!V52</f>
        <v>-335634.865869001</v>
      </c>
      <c r="W8" s="65" t="n">
        <f aca="false">PL!W52</f>
        <v>-328139.891630226</v>
      </c>
      <c r="X8" s="65" t="n">
        <f aca="false">PL!X52</f>
        <v>-152569.117067804</v>
      </c>
      <c r="Y8" s="65" t="n">
        <f aca="false">PL!Y52</f>
        <v>-358247.25733292</v>
      </c>
      <c r="Z8" s="65" t="n">
        <f aca="false">PL!Z52</f>
        <v>-330454.626991664</v>
      </c>
      <c r="AA8" s="65" t="n">
        <f aca="false">PL!AA52</f>
        <v>-353414.237520372</v>
      </c>
      <c r="AB8" s="65" t="n">
        <f aca="false">PL!AB52</f>
        <v>-327784.674589952</v>
      </c>
    </row>
    <row r="9" customFormat="false" ht="15" hidden="false" customHeight="false" outlineLevel="0" collapsed="false">
      <c r="A9" s="28" t="s">
        <v>1518</v>
      </c>
      <c r="B9" s="62" t="s">
        <v>30</v>
      </c>
      <c r="C9" s="64" t="n">
        <f aca="false">SUM(E9:P9)</f>
        <v>-1137599.27210099</v>
      </c>
      <c r="D9" s="64" t="n">
        <f aca="false">SUM(Q9:AB9)</f>
        <v>-1311775.13838346</v>
      </c>
      <c r="E9" s="65" t="n">
        <f aca="false">-PL!E43</f>
        <v>-89210.6082</v>
      </c>
      <c r="F9" s="65" t="n">
        <f aca="false">-PL!F43</f>
        <v>-93117.4902</v>
      </c>
      <c r="G9" s="65" t="n">
        <f aca="false">-PL!G43</f>
        <v>-94080.7266</v>
      </c>
      <c r="H9" s="65" t="n">
        <f aca="false">-PL!H43</f>
        <v>-97638.9456</v>
      </c>
      <c r="I9" s="65" t="n">
        <f aca="false">-PL!I43</f>
        <v>-96313.8624</v>
      </c>
      <c r="J9" s="65" t="n">
        <f aca="false">-PL!J43</f>
        <v>-96551.2884</v>
      </c>
      <c r="K9" s="65" t="n">
        <f aca="false">-PL!K43</f>
        <v>-96941.5524</v>
      </c>
      <c r="L9" s="65" t="n">
        <f aca="false">-PL!L43</f>
        <v>-94514.8638</v>
      </c>
      <c r="M9" s="65" t="n">
        <f aca="false">-PL!M43</f>
        <v>-93308.6032344667</v>
      </c>
      <c r="N9" s="65" t="n">
        <f aca="false">-PL!N43</f>
        <v>-95319.4832138461</v>
      </c>
      <c r="O9" s="65" t="n">
        <f aca="false">-PL!O43</f>
        <v>-95309.2600965974</v>
      </c>
      <c r="P9" s="65" t="n">
        <f aca="false">-PL!P43</f>
        <v>-95292.5879560796</v>
      </c>
      <c r="Q9" s="65" t="n">
        <f aca="false">-PL!Q43</f>
        <v>-105368.748594889</v>
      </c>
      <c r="R9" s="65" t="n">
        <f aca="false">-PL!R43</f>
        <v>-105308.747147387</v>
      </c>
      <c r="S9" s="65" t="n">
        <f aca="false">-PL!S43</f>
        <v>-108121.209012948</v>
      </c>
      <c r="T9" s="65" t="n">
        <f aca="false">-PL!T43</f>
        <v>-108098.271842797</v>
      </c>
      <c r="U9" s="65" t="n">
        <f aca="false">-PL!U43</f>
        <v>-108075.025803669</v>
      </c>
      <c r="V9" s="65" t="n">
        <f aca="false">-PL!V43</f>
        <v>-109364.170198746</v>
      </c>
      <c r="W9" s="65" t="n">
        <f aca="false">-PL!W43</f>
        <v>-109353.62104578</v>
      </c>
      <c r="X9" s="65" t="n">
        <f aca="false">-PL!X43</f>
        <v>-109342.966085429</v>
      </c>
      <c r="Y9" s="65" t="n">
        <f aca="false">-PL!Y43</f>
        <v>-112215.249189973</v>
      </c>
      <c r="Z9" s="65" t="n">
        <f aca="false">-PL!Z43</f>
        <v>-112191.402288772</v>
      </c>
      <c r="AA9" s="65" t="n">
        <f aca="false">-PL!AA43</f>
        <v>-112167.66532041</v>
      </c>
      <c r="AB9" s="65" t="n">
        <f aca="false">-PL!AB43</f>
        <v>-112168.061852657</v>
      </c>
    </row>
    <row r="10" customFormat="false" ht="15" hidden="false" customHeight="false" outlineLevel="0" collapsed="false">
      <c r="A10" s="28" t="s">
        <v>1519</v>
      </c>
      <c r="B10" s="62"/>
      <c r="C10" s="64" t="n">
        <f aca="false">SUM(E10:P10)</f>
        <v>-5525999.48377021</v>
      </c>
      <c r="D10" s="64" t="n">
        <f aca="false">SUM(Q10:AB10)</f>
        <v>-5432963.77409977</v>
      </c>
      <c r="E10" s="73" t="n">
        <f aca="false">E8+E9</f>
        <v>-458821.618845337</v>
      </c>
      <c r="F10" s="73" t="n">
        <f aca="false">F8+F9</f>
        <v>-511295.048824932</v>
      </c>
      <c r="G10" s="73" t="n">
        <f aca="false">G8+G9</f>
        <v>-517132.252527534</v>
      </c>
      <c r="H10" s="73" t="n">
        <f aca="false">H8+H9</f>
        <v>-546617.419043989</v>
      </c>
      <c r="I10" s="73" t="n">
        <f aca="false">I8+I9</f>
        <v>-449459.550332848</v>
      </c>
      <c r="J10" s="73" t="n">
        <f aca="false">J8+J9</f>
        <v>-564389.109363879</v>
      </c>
      <c r="K10" s="73" t="n">
        <f aca="false">K8+K9</f>
        <v>-450321.039655932</v>
      </c>
      <c r="L10" s="73" t="n">
        <f aca="false">L8+L9</f>
        <v>-269763.636834354</v>
      </c>
      <c r="M10" s="73" t="n">
        <f aca="false">M8+M9</f>
        <v>-378426.720127141</v>
      </c>
      <c r="N10" s="73" t="n">
        <f aca="false">N8+N9</f>
        <v>-485242.693045566</v>
      </c>
      <c r="O10" s="73" t="n">
        <f aca="false">O8+O9</f>
        <v>-481668.560120937</v>
      </c>
      <c r="P10" s="73" t="n">
        <f aca="false">P8+P9</f>
        <v>-412861.835047757</v>
      </c>
      <c r="Q10" s="73" t="n">
        <f aca="false">Q8+Q9</f>
        <v>-524836.531467544</v>
      </c>
      <c r="R10" s="73" t="n">
        <f aca="false">R8+R9</f>
        <v>-529965.431715283</v>
      </c>
      <c r="S10" s="73" t="n">
        <f aca="false">S8+S9</f>
        <v>-431156.446889802</v>
      </c>
      <c r="T10" s="73" t="n">
        <f aca="false">T8+T9</f>
        <v>-532158.542061826</v>
      </c>
      <c r="U10" s="73" t="n">
        <f aca="false">U8+U9</f>
        <v>-451799.014981611</v>
      </c>
      <c r="V10" s="73" t="n">
        <f aca="false">V8+V9</f>
        <v>-444999.036067747</v>
      </c>
      <c r="W10" s="73" t="n">
        <f aca="false">W8+W9</f>
        <v>-437493.512676006</v>
      </c>
      <c r="X10" s="73" t="n">
        <f aca="false">X8+X9</f>
        <v>-261912.083153233</v>
      </c>
      <c r="Y10" s="73" t="n">
        <f aca="false">Y8+Y9</f>
        <v>-470462.506522893</v>
      </c>
      <c r="Z10" s="73" t="n">
        <f aca="false">Z8+Z9</f>
        <v>-442646.029280435</v>
      </c>
      <c r="AA10" s="73" t="n">
        <f aca="false">AA8+AA9</f>
        <v>-465581.902840783</v>
      </c>
      <c r="AB10" s="73" t="n">
        <f aca="false">AB8+AB9</f>
        <v>-439952.736442609</v>
      </c>
    </row>
    <row r="11" customFormat="false" ht="15" hidden="false" customHeight="false" outlineLevel="0" collapsed="false">
      <c r="A11" s="28" t="s">
        <v>1520</v>
      </c>
      <c r="B11" s="62"/>
      <c r="C11" s="64" t="n">
        <f aca="false">P11</f>
        <v>0</v>
      </c>
      <c r="D11" s="64" t="n">
        <f aca="false">AB11</f>
        <v>0</v>
      </c>
      <c r="E11" s="65" t="n">
        <f aca="false">MAX(0,SUMIFS(Tax!$E$10:$AB$10,Assumptions!$E$206:$AB$206,Assumptions!E$206,Assumptions!$E$204:$AB$204,"&lt;="&amp;Assumptions!E$204))</f>
        <v>0</v>
      </c>
      <c r="F11" s="65" t="n">
        <f aca="false">MAX(0,SUMIFS(Tax!$E$10:$AB$10,Assumptions!$E$206:$AB$206,Assumptions!F$206,Assumptions!$E$204:$AB$204,"&lt;="&amp;Assumptions!F$204))</f>
        <v>0</v>
      </c>
      <c r="G11" s="65" t="n">
        <f aca="false">MAX(0,SUMIFS(Tax!$E$10:$AB$10,Assumptions!$E$206:$AB$206,Assumptions!G$206,Assumptions!$E$204:$AB$204,"&lt;="&amp;Assumptions!G$204))</f>
        <v>0</v>
      </c>
      <c r="H11" s="65" t="n">
        <f aca="false">MAX(0,SUMIFS(Tax!$E$10:$AB$10,Assumptions!$E$206:$AB$206,Assumptions!H$206,Assumptions!$E$204:$AB$204,"&lt;="&amp;Assumptions!H$204))</f>
        <v>0</v>
      </c>
      <c r="I11" s="65" t="n">
        <f aca="false">MAX(0,SUMIFS(Tax!$E$10:$AB$10,Assumptions!$E$206:$AB$206,Assumptions!I$206,Assumptions!$E$204:$AB$204,"&lt;="&amp;Assumptions!I$204))</f>
        <v>0</v>
      </c>
      <c r="J11" s="65" t="n">
        <f aca="false">MAX(0,SUMIFS(Tax!$E$10:$AB$10,Assumptions!$E$206:$AB$206,Assumptions!J$206,Assumptions!$E$204:$AB$204,"&lt;="&amp;Assumptions!J$204))</f>
        <v>0</v>
      </c>
      <c r="K11" s="65" t="n">
        <f aca="false">MAX(0,SUMIFS(Tax!$E$10:$AB$10,Assumptions!$E$206:$AB$206,Assumptions!K$206,Assumptions!$E$204:$AB$204,"&lt;="&amp;Assumptions!K$204))</f>
        <v>0</v>
      </c>
      <c r="L11" s="65" t="n">
        <f aca="false">MAX(0,SUMIFS(Tax!$E$10:$AB$10,Assumptions!$E$206:$AB$206,Assumptions!L$206,Assumptions!$E$204:$AB$204,"&lt;="&amp;Assumptions!L$204))</f>
        <v>0</v>
      </c>
      <c r="M11" s="65" t="n">
        <f aca="false">MAX(0,SUMIFS(Tax!$E$10:$AB$10,Assumptions!$E$206:$AB$206,Assumptions!M$206,Assumptions!$E$204:$AB$204,"&lt;="&amp;Assumptions!M$204))</f>
        <v>0</v>
      </c>
      <c r="N11" s="65" t="n">
        <f aca="false">MAX(0,SUMIFS(Tax!$E$10:$AB$10,Assumptions!$E$206:$AB$206,Assumptions!N$206,Assumptions!$E$204:$AB$204,"&lt;="&amp;Assumptions!N$204))</f>
        <v>0</v>
      </c>
      <c r="O11" s="65" t="n">
        <f aca="false">MAX(0,SUMIFS(Tax!$E$10:$AB$10,Assumptions!$E$206:$AB$206,Assumptions!O$206,Assumptions!$E$204:$AB$204,"&lt;="&amp;Assumptions!O$204))</f>
        <v>0</v>
      </c>
      <c r="P11" s="65" t="n">
        <f aca="false">MAX(0,SUMIFS(Tax!$E$10:$AB$10,Assumptions!$E$206:$AB$206,Assumptions!P$206,Assumptions!$E$204:$AB$204,"&lt;="&amp;Assumptions!P$204))</f>
        <v>0</v>
      </c>
      <c r="Q11" s="65" t="n">
        <f aca="false">MAX(0,SUMIFS(Tax!$E$10:$AB$10,Assumptions!$E$206:$AB$206,Assumptions!Q$206,Assumptions!$E$204:$AB$204,"&lt;="&amp;Assumptions!Q$204))</f>
        <v>0</v>
      </c>
      <c r="R11" s="65" t="n">
        <f aca="false">MAX(0,SUMIFS(Tax!$E$10:$AB$10,Assumptions!$E$206:$AB$206,Assumptions!R$206,Assumptions!$E$204:$AB$204,"&lt;="&amp;Assumptions!R$204))</f>
        <v>0</v>
      </c>
      <c r="S11" s="65" t="n">
        <f aca="false">MAX(0,SUMIFS(Tax!$E$10:$AB$10,Assumptions!$E$206:$AB$206,Assumptions!S$206,Assumptions!$E$204:$AB$204,"&lt;="&amp;Assumptions!S$204))</f>
        <v>0</v>
      </c>
      <c r="T11" s="65" t="n">
        <f aca="false">MAX(0,SUMIFS(Tax!$E$10:$AB$10,Assumptions!$E$206:$AB$206,Assumptions!T$206,Assumptions!$E$204:$AB$204,"&lt;="&amp;Assumptions!T$204))</f>
        <v>0</v>
      </c>
      <c r="U11" s="65" t="n">
        <f aca="false">MAX(0,SUMIFS(Tax!$E$10:$AB$10,Assumptions!$E$206:$AB$206,Assumptions!U$206,Assumptions!$E$204:$AB$204,"&lt;="&amp;Assumptions!U$204))</f>
        <v>0</v>
      </c>
      <c r="V11" s="65" t="n">
        <f aca="false">MAX(0,SUMIFS(Tax!$E$10:$AB$10,Assumptions!$E$206:$AB$206,Assumptions!V$206,Assumptions!$E$204:$AB$204,"&lt;="&amp;Assumptions!V$204))</f>
        <v>0</v>
      </c>
      <c r="W11" s="65" t="n">
        <f aca="false">MAX(0,SUMIFS(Tax!$E$10:$AB$10,Assumptions!$E$206:$AB$206,Assumptions!W$206,Assumptions!$E$204:$AB$204,"&lt;="&amp;Assumptions!W$204))</f>
        <v>0</v>
      </c>
      <c r="X11" s="65" t="n">
        <f aca="false">MAX(0,SUMIFS(Tax!$E$10:$AB$10,Assumptions!$E$206:$AB$206,Assumptions!X$206,Assumptions!$E$204:$AB$204,"&lt;="&amp;Assumptions!X$204))</f>
        <v>0</v>
      </c>
      <c r="Y11" s="65" t="n">
        <f aca="false">MAX(0,SUMIFS(Tax!$E$10:$AB$10,Assumptions!$E$206:$AB$206,Assumptions!Y$206,Assumptions!$E$204:$AB$204,"&lt;="&amp;Assumptions!Y$204))</f>
        <v>0</v>
      </c>
      <c r="Z11" s="65" t="n">
        <f aca="false">MAX(0,SUMIFS(Tax!$E$10:$AB$10,Assumptions!$E$206:$AB$206,Assumptions!Z$206,Assumptions!$E$204:$AB$204,"&lt;="&amp;Assumptions!Z$204))</f>
        <v>0</v>
      </c>
      <c r="AA11" s="65" t="n">
        <f aca="false">MAX(0,SUMIFS(Tax!$E$10:$AB$10,Assumptions!$E$206:$AB$206,Assumptions!AA$206,Assumptions!$E$204:$AB$204,"&lt;="&amp;Assumptions!AA$204))</f>
        <v>0</v>
      </c>
      <c r="AB11" s="65" t="n">
        <f aca="false">MAX(0,SUMIFS(Tax!$E$10:$AB$10,Assumptions!$E$206:$AB$206,Assumptions!AB$206,Assumptions!$E$204:$AB$204,"&lt;="&amp;Assumptions!AB$204))</f>
        <v>0</v>
      </c>
    </row>
    <row r="12" customFormat="false" ht="15" hidden="false" customHeight="false" outlineLevel="0" collapsed="false">
      <c r="A12" s="28" t="s">
        <v>1521</v>
      </c>
      <c r="B12" s="62"/>
      <c r="C12" s="64" t="n">
        <f aca="false">P12</f>
        <v>15492000</v>
      </c>
      <c r="D12" s="64" t="n">
        <f aca="false">AB12</f>
        <v>21017999.4837702</v>
      </c>
      <c r="E12" s="65" t="n">
        <f aca="false">Assumptions!$C$29</f>
        <v>15492000</v>
      </c>
      <c r="F12" s="65" t="n">
        <f aca="false">Assumptions!$C$29</f>
        <v>15492000</v>
      </c>
      <c r="G12" s="65" t="n">
        <f aca="false">Assumptions!$C$29</f>
        <v>15492000</v>
      </c>
      <c r="H12" s="65" t="n">
        <f aca="false">Assumptions!$C$29</f>
        <v>15492000</v>
      </c>
      <c r="I12" s="65" t="n">
        <f aca="false">Assumptions!$C$29</f>
        <v>15492000</v>
      </c>
      <c r="J12" s="65" t="n">
        <f aca="false">Assumptions!$C$29</f>
        <v>15492000</v>
      </c>
      <c r="K12" s="65" t="n">
        <f aca="false">Assumptions!$C$29</f>
        <v>15492000</v>
      </c>
      <c r="L12" s="65" t="n">
        <f aca="false">Assumptions!$C$29</f>
        <v>15492000</v>
      </c>
      <c r="M12" s="65" t="n">
        <f aca="false">Assumptions!$C$29</f>
        <v>15492000</v>
      </c>
      <c r="N12" s="65" t="n">
        <f aca="false">Assumptions!$C$29</f>
        <v>15492000</v>
      </c>
      <c r="O12" s="65" t="n">
        <f aca="false">Assumptions!$C$29</f>
        <v>15492000</v>
      </c>
      <c r="P12" s="65" t="n">
        <f aca="false">Assumptions!$C$29</f>
        <v>15492000</v>
      </c>
      <c r="Q12" s="65" t="n">
        <f aca="false">Tax!$C$14</f>
        <v>21017999.4837702</v>
      </c>
      <c r="R12" s="65" t="n">
        <f aca="false">Tax!$C$14</f>
        <v>21017999.4837702</v>
      </c>
      <c r="S12" s="65" t="n">
        <f aca="false">Tax!$C$14</f>
        <v>21017999.4837702</v>
      </c>
      <c r="T12" s="65" t="n">
        <f aca="false">Tax!$C$14</f>
        <v>21017999.4837702</v>
      </c>
      <c r="U12" s="65" t="n">
        <f aca="false">Tax!$C$14</f>
        <v>21017999.4837702</v>
      </c>
      <c r="V12" s="65" t="n">
        <f aca="false">Tax!$C$14</f>
        <v>21017999.4837702</v>
      </c>
      <c r="W12" s="65" t="n">
        <f aca="false">Tax!$C$14</f>
        <v>21017999.4837702</v>
      </c>
      <c r="X12" s="65" t="n">
        <f aca="false">Tax!$C$14</f>
        <v>21017999.4837702</v>
      </c>
      <c r="Y12" s="65" t="n">
        <f aca="false">Tax!$C$14</f>
        <v>21017999.4837702</v>
      </c>
      <c r="Z12" s="65" t="n">
        <f aca="false">Tax!$C$14</f>
        <v>21017999.4837702</v>
      </c>
      <c r="AA12" s="65" t="n">
        <f aca="false">Tax!$C$14</f>
        <v>21017999.4837702</v>
      </c>
      <c r="AB12" s="65" t="n">
        <f aca="false">Tax!$C$14</f>
        <v>21017999.4837702</v>
      </c>
    </row>
    <row r="13" customFormat="false" ht="15" hidden="false" customHeight="false" outlineLevel="0" collapsed="false">
      <c r="A13" s="28" t="s">
        <v>1522</v>
      </c>
      <c r="B13" s="62" t="s">
        <v>1523</v>
      </c>
      <c r="C13" s="64" t="n">
        <f aca="false">P13</f>
        <v>0</v>
      </c>
      <c r="D13" s="64" t="n">
        <f aca="false">AB13</f>
        <v>0</v>
      </c>
      <c r="E13" s="65" t="n">
        <f aca="false">MIN(E12,E11,Assumptions!$C$30+Assumptions!$C$31*MAX(0,E11-Assumptions!$C$30))</f>
        <v>0</v>
      </c>
      <c r="F13" s="65" t="n">
        <f aca="false">MIN(F12,F11,Assumptions!$C$30+Assumptions!$C$31*MAX(0,F11-Assumptions!$C$30))</f>
        <v>0</v>
      </c>
      <c r="G13" s="65" t="n">
        <f aca="false">MIN(G12,G11,Assumptions!$C$30+Assumptions!$C$31*MAX(0,G11-Assumptions!$C$30))</f>
        <v>0</v>
      </c>
      <c r="H13" s="65" t="n">
        <f aca="false">MIN(H12,H11,Assumptions!$C$30+Assumptions!$C$31*MAX(0,H11-Assumptions!$C$30))</f>
        <v>0</v>
      </c>
      <c r="I13" s="65" t="n">
        <f aca="false">MIN(I12,I11,Assumptions!$C$30+Assumptions!$C$31*MAX(0,I11-Assumptions!$C$30))</f>
        <v>0</v>
      </c>
      <c r="J13" s="65" t="n">
        <f aca="false">MIN(J12,J11,Assumptions!$C$30+Assumptions!$C$31*MAX(0,J11-Assumptions!$C$30))</f>
        <v>0</v>
      </c>
      <c r="K13" s="65" t="n">
        <f aca="false">MIN(K12,K11,Assumptions!$C$30+Assumptions!$C$31*MAX(0,K11-Assumptions!$C$30))</f>
        <v>0</v>
      </c>
      <c r="L13" s="65" t="n">
        <f aca="false">MIN(L12,L11,Assumptions!$C$30+Assumptions!$C$31*MAX(0,L11-Assumptions!$C$30))</f>
        <v>0</v>
      </c>
      <c r="M13" s="65" t="n">
        <f aca="false">MIN(M12,M11,Assumptions!$C$30+Assumptions!$C$31*MAX(0,M11-Assumptions!$C$30))</f>
        <v>0</v>
      </c>
      <c r="N13" s="65" t="n">
        <f aca="false">MIN(N12,N11,Assumptions!$C$30+Assumptions!$C$31*MAX(0,N11-Assumptions!$C$30))</f>
        <v>0</v>
      </c>
      <c r="O13" s="65" t="n">
        <f aca="false">MIN(O12,O11,Assumptions!$C$30+Assumptions!$C$31*MAX(0,O11-Assumptions!$C$30))</f>
        <v>0</v>
      </c>
      <c r="P13" s="65" t="n">
        <f aca="false">MIN(P12,P11,Assumptions!$C$30+Assumptions!$C$31*MAX(0,P11-Assumptions!$C$30))</f>
        <v>0</v>
      </c>
      <c r="Q13" s="65" t="n">
        <f aca="false">MIN(Q12,Q11,Assumptions!$C$30+Assumptions!$C$31*MAX(0,Q11-Assumptions!$C$30))</f>
        <v>0</v>
      </c>
      <c r="R13" s="65" t="n">
        <f aca="false">MIN(R12,R11,Assumptions!$C$30+Assumptions!$C$31*MAX(0,R11-Assumptions!$C$30))</f>
        <v>0</v>
      </c>
      <c r="S13" s="65" t="n">
        <f aca="false">MIN(S12,S11,Assumptions!$C$30+Assumptions!$C$31*MAX(0,S11-Assumptions!$C$30))</f>
        <v>0</v>
      </c>
      <c r="T13" s="65" t="n">
        <f aca="false">MIN(T12,T11,Assumptions!$C$30+Assumptions!$C$31*MAX(0,T11-Assumptions!$C$30))</f>
        <v>0</v>
      </c>
      <c r="U13" s="65" t="n">
        <f aca="false">MIN(U12,U11,Assumptions!$C$30+Assumptions!$C$31*MAX(0,U11-Assumptions!$C$30))</f>
        <v>0</v>
      </c>
      <c r="V13" s="65" t="n">
        <f aca="false">MIN(V12,V11,Assumptions!$C$30+Assumptions!$C$31*MAX(0,V11-Assumptions!$C$30))</f>
        <v>0</v>
      </c>
      <c r="W13" s="65" t="n">
        <f aca="false">MIN(W12,W11,Assumptions!$C$30+Assumptions!$C$31*MAX(0,W11-Assumptions!$C$30))</f>
        <v>0</v>
      </c>
      <c r="X13" s="65" t="n">
        <f aca="false">MIN(X12,X11,Assumptions!$C$30+Assumptions!$C$31*MAX(0,X11-Assumptions!$C$30))</f>
        <v>0</v>
      </c>
      <c r="Y13" s="65" t="n">
        <f aca="false">MIN(Y12,Y11,Assumptions!$C$30+Assumptions!$C$31*MAX(0,Y11-Assumptions!$C$30))</f>
        <v>0</v>
      </c>
      <c r="Z13" s="65" t="n">
        <f aca="false">MIN(Z12,Z11,Assumptions!$C$30+Assumptions!$C$31*MAX(0,Z11-Assumptions!$C$30))</f>
        <v>0</v>
      </c>
      <c r="AA13" s="65" t="n">
        <f aca="false">MIN(AA12,AA11,Assumptions!$C$30+Assumptions!$C$31*MAX(0,AA11-Assumptions!$C$30))</f>
        <v>0</v>
      </c>
      <c r="AB13" s="65" t="n">
        <f aca="false">MIN(AB12,AB11,Assumptions!$C$30+Assumptions!$C$31*MAX(0,AB11-Assumptions!$C$30))</f>
        <v>0</v>
      </c>
    </row>
    <row r="14" customFormat="false" ht="15" hidden="false" customHeight="false" outlineLevel="0" collapsed="false">
      <c r="A14" s="28" t="s">
        <v>1524</v>
      </c>
      <c r="B14" s="62" t="s">
        <v>1525</v>
      </c>
      <c r="C14" s="64" t="n">
        <f aca="false">P14</f>
        <v>21017999.4837702</v>
      </c>
      <c r="D14" s="64" t="n">
        <f aca="false">AB14</f>
        <v>26450963.25787</v>
      </c>
      <c r="E14" s="65" t="n">
        <f aca="false">E12+MAX(0,-SUMIFS(Tax!$E$10:$AB$10,Assumptions!$E$206:$AB$206,Assumptions!E$206,Assumptions!$E$204:$AB$204,"&lt;="&amp;Assumptions!E$204))-E13</f>
        <v>15950821.6188453</v>
      </c>
      <c r="F14" s="65" t="n">
        <f aca="false">F12+MAX(0,-SUMIFS(Tax!$E$10:$AB$10,Assumptions!$E$206:$AB$206,Assumptions!F$206,Assumptions!$E$204:$AB$204,"&lt;="&amp;Assumptions!F$204))-F13</f>
        <v>16462116.6676703</v>
      </c>
      <c r="G14" s="65" t="n">
        <f aca="false">G12+MAX(0,-SUMIFS(Tax!$E$10:$AB$10,Assumptions!$E$206:$AB$206,Assumptions!G$206,Assumptions!$E$204:$AB$204,"&lt;="&amp;Assumptions!G$204))-G13</f>
        <v>16979248.9201978</v>
      </c>
      <c r="H14" s="65" t="n">
        <f aca="false">H12+MAX(0,-SUMIFS(Tax!$E$10:$AB$10,Assumptions!$E$206:$AB$206,Assumptions!H$206,Assumptions!$E$204:$AB$204,"&lt;="&amp;Assumptions!H$204))-H13</f>
        <v>17525866.3392418</v>
      </c>
      <c r="I14" s="65" t="n">
        <f aca="false">I12+MAX(0,-SUMIFS(Tax!$E$10:$AB$10,Assumptions!$E$206:$AB$206,Assumptions!I$206,Assumptions!$E$204:$AB$204,"&lt;="&amp;Assumptions!I$204))-I13</f>
        <v>17975325.8895746</v>
      </c>
      <c r="J14" s="65" t="n">
        <f aca="false">J12+MAX(0,-SUMIFS(Tax!$E$10:$AB$10,Assumptions!$E$206:$AB$206,Assumptions!J$206,Assumptions!$E$204:$AB$204,"&lt;="&amp;Assumptions!J$204))-J13</f>
        <v>18539714.9989385</v>
      </c>
      <c r="K14" s="65" t="n">
        <f aca="false">K12+MAX(0,-SUMIFS(Tax!$E$10:$AB$10,Assumptions!$E$206:$AB$206,Assumptions!K$206,Assumptions!$E$204:$AB$204,"&lt;="&amp;Assumptions!K$204))-K13</f>
        <v>18990036.0385945</v>
      </c>
      <c r="L14" s="65" t="n">
        <f aca="false">L12+MAX(0,-SUMIFS(Tax!$E$10:$AB$10,Assumptions!$E$206:$AB$206,Assumptions!L$206,Assumptions!$E$204:$AB$204,"&lt;="&amp;Assumptions!L$204))-L13</f>
        <v>19259799.6754288</v>
      </c>
      <c r="M14" s="65" t="n">
        <f aca="false">M12+MAX(0,-SUMIFS(Tax!$E$10:$AB$10,Assumptions!$E$206:$AB$206,Assumptions!M$206,Assumptions!$E$204:$AB$204,"&lt;="&amp;Assumptions!M$204))-M13</f>
        <v>19638226.3955559</v>
      </c>
      <c r="N14" s="65" t="n">
        <f aca="false">N12+MAX(0,-SUMIFS(Tax!$E$10:$AB$10,Assumptions!$E$206:$AB$206,Assumptions!N$206,Assumptions!$E$204:$AB$204,"&lt;="&amp;Assumptions!N$204))-N13</f>
        <v>20123469.0886015</v>
      </c>
      <c r="O14" s="65" t="n">
        <f aca="false">O12+MAX(0,-SUMIFS(Tax!$E$10:$AB$10,Assumptions!$E$206:$AB$206,Assumptions!O$206,Assumptions!$E$204:$AB$204,"&lt;="&amp;Assumptions!O$204))-O13</f>
        <v>20605137.6487224</v>
      </c>
      <c r="P14" s="65" t="n">
        <f aca="false">P12+MAX(0,-SUMIFS(Tax!$E$10:$AB$10,Assumptions!$E$206:$AB$206,Assumptions!P$206,Assumptions!$E$204:$AB$204,"&lt;="&amp;Assumptions!P$204))-P13</f>
        <v>21017999.4837702</v>
      </c>
      <c r="Q14" s="65" t="n">
        <f aca="false">Q12+MAX(0,-SUMIFS(Tax!$E$10:$AB$10,Assumptions!$E$206:$AB$206,Assumptions!Q$206,Assumptions!$E$204:$AB$204,"&lt;="&amp;Assumptions!Q$204))-Q13</f>
        <v>21542836.0152378</v>
      </c>
      <c r="R14" s="65" t="n">
        <f aca="false">R12+MAX(0,-SUMIFS(Tax!$E$10:$AB$10,Assumptions!$E$206:$AB$206,Assumptions!R$206,Assumptions!$E$204:$AB$204,"&lt;="&amp;Assumptions!R$204))-R13</f>
        <v>22072801.446953</v>
      </c>
      <c r="S14" s="65" t="n">
        <f aca="false">S12+MAX(0,-SUMIFS(Tax!$E$10:$AB$10,Assumptions!$E$206:$AB$206,Assumptions!S$206,Assumptions!$E$204:$AB$204,"&lt;="&amp;Assumptions!S$204))-S13</f>
        <v>22503957.8938428</v>
      </c>
      <c r="T14" s="65" t="n">
        <f aca="false">T12+MAX(0,-SUMIFS(Tax!$E$10:$AB$10,Assumptions!$E$206:$AB$206,Assumptions!T$206,Assumptions!$E$204:$AB$204,"&lt;="&amp;Assumptions!T$204))-T13</f>
        <v>23036116.4359047</v>
      </c>
      <c r="U14" s="65" t="n">
        <f aca="false">U12+MAX(0,-SUMIFS(Tax!$E$10:$AB$10,Assumptions!$E$206:$AB$206,Assumptions!U$206,Assumptions!$E$204:$AB$204,"&lt;="&amp;Assumptions!U$204))-U13</f>
        <v>23487915.4508863</v>
      </c>
      <c r="V14" s="65" t="n">
        <f aca="false">V12+MAX(0,-SUMIFS(Tax!$E$10:$AB$10,Assumptions!$E$206:$AB$206,Assumptions!V$206,Assumptions!$E$204:$AB$204,"&lt;="&amp;Assumptions!V$204))-V13</f>
        <v>23932914.486954</v>
      </c>
      <c r="W14" s="65" t="n">
        <f aca="false">W12+MAX(0,-SUMIFS(Tax!$E$10:$AB$10,Assumptions!$E$206:$AB$206,Assumptions!W$206,Assumptions!$E$204:$AB$204,"&lt;="&amp;Assumptions!W$204))-W13</f>
        <v>24370407.99963</v>
      </c>
      <c r="X14" s="65" t="n">
        <f aca="false">X12+MAX(0,-SUMIFS(Tax!$E$10:$AB$10,Assumptions!$E$206:$AB$206,Assumptions!X$206,Assumptions!$E$204:$AB$204,"&lt;="&amp;Assumptions!X$204))-X13</f>
        <v>24632320.0827833</v>
      </c>
      <c r="Y14" s="65" t="n">
        <f aca="false">Y12+MAX(0,-SUMIFS(Tax!$E$10:$AB$10,Assumptions!$E$206:$AB$206,Assumptions!Y$206,Assumptions!$E$204:$AB$204,"&lt;="&amp;Assumptions!Y$204))-Y13</f>
        <v>25102782.5893062</v>
      </c>
      <c r="Z14" s="65" t="n">
        <f aca="false">Z12+MAX(0,-SUMIFS(Tax!$E$10:$AB$10,Assumptions!$E$206:$AB$206,Assumptions!Z$206,Assumptions!$E$204:$AB$204,"&lt;="&amp;Assumptions!Z$204))-Z13</f>
        <v>25545428.6185866</v>
      </c>
      <c r="AA14" s="65" t="n">
        <f aca="false">AA12+MAX(0,-SUMIFS(Tax!$E$10:$AB$10,Assumptions!$E$206:$AB$206,Assumptions!AA$206,Assumptions!$E$204:$AB$204,"&lt;="&amp;Assumptions!AA$204))-AA13</f>
        <v>26011010.5214274</v>
      </c>
      <c r="AB14" s="65" t="n">
        <f aca="false">AB12+MAX(0,-SUMIFS(Tax!$E$10:$AB$10,Assumptions!$E$206:$AB$206,Assumptions!AB$206,Assumptions!$E$204:$AB$204,"&lt;="&amp;Assumptions!AB$204))-AB13</f>
        <v>26450963.25787</v>
      </c>
    </row>
    <row r="15" customFormat="false" ht="15" hidden="false" customHeight="false" outlineLevel="0" collapsed="false">
      <c r="A15" s="28" t="s">
        <v>1526</v>
      </c>
      <c r="B15" s="62"/>
      <c r="C15" s="64" t="n">
        <f aca="false">P15</f>
        <v>0</v>
      </c>
      <c r="D15" s="64" t="n">
        <f aca="false">AB15</f>
        <v>0</v>
      </c>
      <c r="E15" s="65" t="n">
        <f aca="false">(E11-E13)*Assumptions!$C$28</f>
        <v>0</v>
      </c>
      <c r="F15" s="65" t="n">
        <f aca="false">(F11-F13)*Assumptions!$C$28</f>
        <v>0</v>
      </c>
      <c r="G15" s="65" t="n">
        <f aca="false">(G11-G13)*Assumptions!$C$28</f>
        <v>0</v>
      </c>
      <c r="H15" s="65" t="n">
        <f aca="false">(H11-H13)*Assumptions!$C$28</f>
        <v>0</v>
      </c>
      <c r="I15" s="65" t="n">
        <f aca="false">(I11-I13)*Assumptions!$C$28</f>
        <v>0</v>
      </c>
      <c r="J15" s="65" t="n">
        <f aca="false">(J11-J13)*Assumptions!$C$28</f>
        <v>0</v>
      </c>
      <c r="K15" s="65" t="n">
        <f aca="false">(K11-K13)*Assumptions!$C$28</f>
        <v>0</v>
      </c>
      <c r="L15" s="65" t="n">
        <f aca="false">(L11-L13)*Assumptions!$C$28</f>
        <v>0</v>
      </c>
      <c r="M15" s="65" t="n">
        <f aca="false">(M11-M13)*Assumptions!$C$28</f>
        <v>0</v>
      </c>
      <c r="N15" s="65" t="n">
        <f aca="false">(N11-N13)*Assumptions!$C$28</f>
        <v>0</v>
      </c>
      <c r="O15" s="65" t="n">
        <f aca="false">(O11-O13)*Assumptions!$C$28</f>
        <v>0</v>
      </c>
      <c r="P15" s="65" t="n">
        <f aca="false">(P11-P13)*Assumptions!$C$28</f>
        <v>0</v>
      </c>
      <c r="Q15" s="65" t="n">
        <f aca="false">(Q11-Q13)*Assumptions!$C$28</f>
        <v>0</v>
      </c>
      <c r="R15" s="65" t="n">
        <f aca="false">(R11-R13)*Assumptions!$C$28</f>
        <v>0</v>
      </c>
      <c r="S15" s="65" t="n">
        <f aca="false">(S11-S13)*Assumptions!$C$28</f>
        <v>0</v>
      </c>
      <c r="T15" s="65" t="n">
        <f aca="false">(T11-T13)*Assumptions!$C$28</f>
        <v>0</v>
      </c>
      <c r="U15" s="65" t="n">
        <f aca="false">(U11-U13)*Assumptions!$C$28</f>
        <v>0</v>
      </c>
      <c r="V15" s="65" t="n">
        <f aca="false">(V11-V13)*Assumptions!$C$28</f>
        <v>0</v>
      </c>
      <c r="W15" s="65" t="n">
        <f aca="false">(W11-W13)*Assumptions!$C$28</f>
        <v>0</v>
      </c>
      <c r="X15" s="65" t="n">
        <f aca="false">(X11-X13)*Assumptions!$C$28</f>
        <v>0</v>
      </c>
      <c r="Y15" s="65" t="n">
        <f aca="false">(Y11-Y13)*Assumptions!$C$28</f>
        <v>0</v>
      </c>
      <c r="Z15" s="65" t="n">
        <f aca="false">(Z11-Z13)*Assumptions!$C$28</f>
        <v>0</v>
      </c>
      <c r="AA15" s="65" t="n">
        <f aca="false">(AA11-AA13)*Assumptions!$C$28</f>
        <v>0</v>
      </c>
      <c r="AB15" s="65" t="n">
        <f aca="false">(AB11-AB13)*Assumptions!$C$28</f>
        <v>0</v>
      </c>
    </row>
    <row r="16" customFormat="false" ht="15" hidden="false" customHeight="false" outlineLevel="0" collapsed="false">
      <c r="A16" s="58" t="s">
        <v>1527</v>
      </c>
      <c r="B16" s="59"/>
      <c r="C16" s="60" t="n">
        <f aca="false">SUM(E16:P16)</f>
        <v>0</v>
      </c>
      <c r="D16" s="60" t="n">
        <f aca="false">SUM(Q16:AB16)</f>
        <v>0</v>
      </c>
      <c r="E16" s="61" t="n">
        <f aca="false">E15-IF(Assumptions!E$207=1,0,0)</f>
        <v>0</v>
      </c>
      <c r="F16" s="61" t="n">
        <f aca="false">F15-IF(Assumptions!F$207=1,0,E15)</f>
        <v>0</v>
      </c>
      <c r="G16" s="61" t="n">
        <f aca="false">G15-IF(Assumptions!G$207=1,0,F15)</f>
        <v>0</v>
      </c>
      <c r="H16" s="61" t="n">
        <f aca="false">H15-IF(Assumptions!H$207=1,0,G15)</f>
        <v>0</v>
      </c>
      <c r="I16" s="61" t="n">
        <f aca="false">I15-IF(Assumptions!I$207=1,0,H15)</f>
        <v>0</v>
      </c>
      <c r="J16" s="61" t="n">
        <f aca="false">J15-IF(Assumptions!J$207=1,0,I15)</f>
        <v>0</v>
      </c>
      <c r="K16" s="61" t="n">
        <f aca="false">K15-IF(Assumptions!K$207=1,0,J15)</f>
        <v>0</v>
      </c>
      <c r="L16" s="61" t="n">
        <f aca="false">L15-IF(Assumptions!L$207=1,0,K15)</f>
        <v>0</v>
      </c>
      <c r="M16" s="61" t="n">
        <f aca="false">M15-IF(Assumptions!M$207=1,0,L15)</f>
        <v>0</v>
      </c>
      <c r="N16" s="61" t="n">
        <f aca="false">N15-IF(Assumptions!N$207=1,0,M15)</f>
        <v>0</v>
      </c>
      <c r="O16" s="61" t="n">
        <f aca="false">O15-IF(Assumptions!O$207=1,0,N15)</f>
        <v>0</v>
      </c>
      <c r="P16" s="61" t="n">
        <f aca="false">P15-IF(Assumptions!P$207=1,0,O15)</f>
        <v>0</v>
      </c>
      <c r="Q16" s="61" t="n">
        <f aca="false">Q15-IF(Assumptions!Q$207=1,0,P15)</f>
        <v>0</v>
      </c>
      <c r="R16" s="61" t="n">
        <f aca="false">R15-IF(Assumptions!R$207=1,0,Q15)</f>
        <v>0</v>
      </c>
      <c r="S16" s="61" t="n">
        <f aca="false">S15-IF(Assumptions!S$207=1,0,R15)</f>
        <v>0</v>
      </c>
      <c r="T16" s="61" t="n">
        <f aca="false">T15-IF(Assumptions!T$207=1,0,S15)</f>
        <v>0</v>
      </c>
      <c r="U16" s="61" t="n">
        <f aca="false">U15-IF(Assumptions!U$207=1,0,T15)</f>
        <v>0</v>
      </c>
      <c r="V16" s="61" t="n">
        <f aca="false">V15-IF(Assumptions!V$207=1,0,U15)</f>
        <v>0</v>
      </c>
      <c r="W16" s="61" t="n">
        <f aca="false">W15-IF(Assumptions!W$207=1,0,V15)</f>
        <v>0</v>
      </c>
      <c r="X16" s="61" t="n">
        <f aca="false">X15-IF(Assumptions!X$207=1,0,W15)</f>
        <v>0</v>
      </c>
      <c r="Y16" s="61" t="n">
        <f aca="false">Y15-IF(Assumptions!Y$207=1,0,X15)</f>
        <v>0</v>
      </c>
      <c r="Z16" s="61" t="n">
        <f aca="false">Z15-IF(Assumptions!Z$207=1,0,Y15)</f>
        <v>0</v>
      </c>
      <c r="AA16" s="61" t="n">
        <f aca="false">AA15-IF(Assumptions!AA$207=1,0,Z15)</f>
        <v>0</v>
      </c>
      <c r="AB16" s="61" t="n">
        <f aca="false">AB15-IF(Assumptions!AB$207=1,0,AA15)</f>
        <v>0</v>
      </c>
    </row>
    <row r="17" customFormat="false" ht="15" hidden="false" customHeight="false" outlineLevel="0" collapsed="false">
      <c r="A17" s="28" t="s">
        <v>1528</v>
      </c>
      <c r="B17" s="62"/>
      <c r="C17" s="64" t="n">
        <f aca="false">SUM(E17:P17)</f>
        <v>0</v>
      </c>
      <c r="D17" s="64" t="n">
        <f aca="false">SUM(Q17:AB17)</f>
        <v>0</v>
      </c>
      <c r="E17" s="73" t="n">
        <f aca="false">0</f>
        <v>0</v>
      </c>
      <c r="F17" s="73" t="n">
        <f aca="false">0</f>
        <v>0</v>
      </c>
      <c r="G17" s="73" t="n">
        <f aca="false">0</f>
        <v>0</v>
      </c>
      <c r="H17" s="73" t="n">
        <f aca="false">0</f>
        <v>0</v>
      </c>
      <c r="I17" s="73" t="n">
        <f aca="false">0</f>
        <v>0</v>
      </c>
      <c r="J17" s="73" t="n">
        <f aca="false">0</f>
        <v>0</v>
      </c>
      <c r="K17" s="73" t="n">
        <f aca="false">0</f>
        <v>0</v>
      </c>
      <c r="L17" s="73" t="n">
        <f aca="false">0</f>
        <v>0</v>
      </c>
      <c r="M17" s="73" t="n">
        <f aca="false">0</f>
        <v>0</v>
      </c>
      <c r="N17" s="73" t="n">
        <f aca="false">0</f>
        <v>0</v>
      </c>
      <c r="O17" s="73" t="n">
        <f aca="false">0</f>
        <v>0</v>
      </c>
      <c r="P17" s="73" t="n">
        <f aca="false">0</f>
        <v>0</v>
      </c>
      <c r="Q17" s="65" t="n">
        <f aca="false">IF(Assumptions!Q$207=5,Tax!$C$16,0)</f>
        <v>0</v>
      </c>
      <c r="R17" s="65" t="n">
        <f aca="false">IF(Assumptions!R$207=5,Tax!$C$16,0)</f>
        <v>0</v>
      </c>
      <c r="S17" s="65" t="n">
        <f aca="false">IF(Assumptions!S$207=5,Tax!$C$16,0)</f>
        <v>0</v>
      </c>
      <c r="T17" s="65" t="n">
        <f aca="false">IF(Assumptions!T$207=5,Tax!$C$16,0)</f>
        <v>0</v>
      </c>
      <c r="U17" s="65" t="n">
        <f aca="false">IF(Assumptions!U$207=5,Tax!$C$16,0)</f>
        <v>0</v>
      </c>
      <c r="V17" s="65" t="n">
        <f aca="false">IF(Assumptions!V$207=5,Tax!$C$16,0)</f>
        <v>0</v>
      </c>
      <c r="W17" s="65" t="n">
        <f aca="false">IF(Assumptions!W$207=5,Tax!$C$16,0)</f>
        <v>0</v>
      </c>
      <c r="X17" s="65" t="n">
        <f aca="false">IF(Assumptions!X$207=5,Tax!$C$16,0)</f>
        <v>0</v>
      </c>
      <c r="Y17" s="65" t="n">
        <f aca="false">IF(Assumptions!Y$207=5,Tax!$C$16,0)</f>
        <v>0</v>
      </c>
      <c r="Z17" s="65" t="n">
        <f aca="false">IF(Assumptions!Z$207=5,Tax!$C$16,0)</f>
        <v>0</v>
      </c>
      <c r="AA17" s="65" t="n">
        <f aca="false">IF(Assumptions!AA$207=5,Tax!$C$16,0)</f>
        <v>0</v>
      </c>
      <c r="AB17" s="65" t="n">
        <f aca="false">IF(Assumptions!AB$207=5,Tax!$C$16,0)</f>
        <v>0</v>
      </c>
    </row>
    <row r="18" customFormat="false" ht="15" hidden="false" customHeight="false" outlineLevel="0" collapsed="false">
      <c r="A18" s="58" t="s">
        <v>1529</v>
      </c>
      <c r="B18" s="59"/>
      <c r="C18" s="60" t="n">
        <f aca="false">P18</f>
        <v>0</v>
      </c>
      <c r="D18" s="60" t="n">
        <f aca="false">AB18</f>
        <v>0</v>
      </c>
      <c r="E18" s="60" t="n">
        <f aca="false">0+E16-E17</f>
        <v>0</v>
      </c>
      <c r="F18" s="60" t="n">
        <f aca="false">E18+F16-F17</f>
        <v>0</v>
      </c>
      <c r="G18" s="60" t="n">
        <f aca="false">F18+G16-G17</f>
        <v>0</v>
      </c>
      <c r="H18" s="60" t="n">
        <f aca="false">G18+H16-H17</f>
        <v>0</v>
      </c>
      <c r="I18" s="60" t="n">
        <f aca="false">H18+I16-I17</f>
        <v>0</v>
      </c>
      <c r="J18" s="60" t="n">
        <f aca="false">I18+J16-J17</f>
        <v>0</v>
      </c>
      <c r="K18" s="60" t="n">
        <f aca="false">J18+K16-K17</f>
        <v>0</v>
      </c>
      <c r="L18" s="60" t="n">
        <f aca="false">K18+L16-L17</f>
        <v>0</v>
      </c>
      <c r="M18" s="60" t="n">
        <f aca="false">L18+M16-M17</f>
        <v>0</v>
      </c>
      <c r="N18" s="60" t="n">
        <f aca="false">M18+N16-N17</f>
        <v>0</v>
      </c>
      <c r="O18" s="60" t="n">
        <f aca="false">N18+O16-O17</f>
        <v>0</v>
      </c>
      <c r="P18" s="60" t="n">
        <f aca="false">O18+P16-P17</f>
        <v>0</v>
      </c>
      <c r="Q18" s="60" t="n">
        <f aca="false">P18+Q16-Q17</f>
        <v>0</v>
      </c>
      <c r="R18" s="60" t="n">
        <f aca="false">Q18+R16-R17</f>
        <v>0</v>
      </c>
      <c r="S18" s="60" t="n">
        <f aca="false">R18+S16-S17</f>
        <v>0</v>
      </c>
      <c r="T18" s="60" t="n">
        <f aca="false">S18+T16-T17</f>
        <v>0</v>
      </c>
      <c r="U18" s="60" t="n">
        <f aca="false">T18+U16-U17</f>
        <v>0</v>
      </c>
      <c r="V18" s="60" t="n">
        <f aca="false">U18+V16-V17</f>
        <v>0</v>
      </c>
      <c r="W18" s="60" t="n">
        <f aca="false">V18+W16-W17</f>
        <v>0</v>
      </c>
      <c r="X18" s="60" t="n">
        <f aca="false">W18+X16-X17</f>
        <v>0</v>
      </c>
      <c r="Y18" s="60" t="n">
        <f aca="false">X18+Y16-Y17</f>
        <v>0</v>
      </c>
      <c r="Z18" s="60" t="n">
        <f aca="false">Y18+Z16-Z17</f>
        <v>0</v>
      </c>
      <c r="AA18" s="60" t="n">
        <f aca="false">Z18+AA16-AA17</f>
        <v>0</v>
      </c>
      <c r="AB18" s="60" t="n">
        <f aca="false">AA18+AB16-AB17</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1530</v>
      </c>
    </row>
    <row r="3" customFormat="false" ht="15" hidden="false" customHeight="false" outlineLevel="0" collapsed="false">
      <c r="A3" s="49" t="s">
        <v>1531</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1532</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427</v>
      </c>
      <c r="B9" s="62" t="s">
        <v>1533</v>
      </c>
      <c r="C9" s="64" t="n">
        <f aca="false">SUM(E9:P9)</f>
        <v>221519.083764383</v>
      </c>
      <c r="D9" s="64" t="n">
        <f aca="false">SUM(Q9:AB9)</f>
        <v>259307.839147554</v>
      </c>
      <c r="E9" s="65" t="n">
        <f aca="false">IF(E$5="A",Inputs_Actuals!E144,Assumptions!$C$109*People!E22*Assumptions!E$211)</f>
        <v>17964.17</v>
      </c>
      <c r="F9" s="65" t="n">
        <f aca="false">IF(F$5="A",Inputs_Actuals!F144,Assumptions!$C$109*People!F22*Assumptions!F$211)</f>
        <v>17385.59</v>
      </c>
      <c r="G9" s="65" t="n">
        <f aca="false">IF(G$5="A",Inputs_Actuals!G144,Assumptions!$C$109*People!G22*Assumptions!G$211)</f>
        <v>18123.85</v>
      </c>
      <c r="H9" s="65" t="n">
        <f aca="false">IF(H$5="A",Inputs_Actuals!H144,Assumptions!$C$109*People!H22*Assumptions!H$211)</f>
        <v>19869.56</v>
      </c>
      <c r="I9" s="65" t="n">
        <f aca="false">IF(I$5="A",Inputs_Actuals!I144,Assumptions!$C$109*People!I22*Assumptions!I$211)</f>
        <v>17944.87</v>
      </c>
      <c r="J9" s="65" t="n">
        <f aca="false">IF(J$5="A",Inputs_Actuals!J144,Assumptions!$C$109*People!J22*Assumptions!J$211)</f>
        <v>18293.52</v>
      </c>
      <c r="K9" s="65" t="n">
        <f aca="false">IF(K$5="A",Inputs_Actuals!K144,Assumptions!$C$109*People!K22*Assumptions!K$211)</f>
        <v>18498.38</v>
      </c>
      <c r="L9" s="65" t="n">
        <f aca="false">IF(L$5="A",Inputs_Actuals!L144,Assumptions!$C$109*People!L22*Assumptions!L$211)</f>
        <v>18949.95</v>
      </c>
      <c r="M9" s="65" t="n">
        <f aca="false">IF(M$5="A",Inputs_Actuals!M144,Assumptions!$C$109*People!M22*Assumptions!M$211)</f>
        <v>18287.2</v>
      </c>
      <c r="N9" s="65" t="n">
        <f aca="false">IF(N$5="A",Inputs_Actuals!N144,Assumptions!$C$109*People!N22*Assumptions!N$211)</f>
        <v>18576.6353333333</v>
      </c>
      <c r="O9" s="65" t="n">
        <f aca="false">IF(O$5="A",Inputs_Actuals!O144,Assumptions!$C$109*People!O22*Assumptions!O$211)</f>
        <v>18816.0773061111</v>
      </c>
      <c r="P9" s="65" t="n">
        <f aca="false">IF(P$5="A",Inputs_Actuals!P144,Assumptions!$C$109*People!P22*Assumptions!P$211)</f>
        <v>18809.2811249384</v>
      </c>
      <c r="Q9" s="65" t="n">
        <f aca="false">IF(Q$5="A",Inputs_Actuals!Q144,Assumptions!$C$109*People!Q22*Assumptions!Q$211)</f>
        <v>20505.5053074616</v>
      </c>
      <c r="R9" s="65" t="n">
        <f aca="false">IF(R$5="A",Inputs_Actuals!R144,Assumptions!$C$109*People!R22*Assumptions!R$211)</f>
        <v>20738.3425162343</v>
      </c>
      <c r="S9" s="65" t="n">
        <f aca="false">IF(S$5="A",Inputs_Actuals!S144,Assumptions!$C$109*People!S22*Assumptions!S$211)</f>
        <v>20967.1402146239</v>
      </c>
      <c r="T9" s="65" t="n">
        <f aca="false">IF(T$5="A",Inputs_Actuals!T144,Assumptions!$C$109*People!T22*Assumptions!T$211)</f>
        <v>21453.3689730573</v>
      </c>
      <c r="U9" s="65" t="n">
        <f aca="false">IF(U$5="A",Inputs_Actuals!U144,Assumptions!$C$109*People!U22*Assumptions!U$211)</f>
        <v>21444.4474669856</v>
      </c>
      <c r="V9" s="65" t="n">
        <f aca="false">IF(V$5="A",Inputs_Actuals!V144,Assumptions!$C$109*People!V22*Assumptions!V$211)</f>
        <v>21683.4722466368</v>
      </c>
      <c r="W9" s="65" t="n">
        <f aca="false">IF(W$5="A",Inputs_Actuals!W144,Assumptions!$C$109*People!W22*Assumptions!W$211)</f>
        <v>21927.6456240682</v>
      </c>
      <c r="X9" s="65" t="n">
        <f aca="false">IF(X$5="A",Inputs_Actuals!X144,Assumptions!$C$109*People!X22*Assumptions!X$211)</f>
        <v>21924.0733047542</v>
      </c>
      <c r="Y9" s="65" t="n">
        <f aca="false">IF(Y$5="A",Inputs_Actuals!Y144,Assumptions!$C$109*People!Y22*Assumptions!Y$211)</f>
        <v>22168.4734655675</v>
      </c>
      <c r="Z9" s="65" t="n">
        <f aca="false">IF(Z$5="A",Inputs_Actuals!Z144,Assumptions!$C$109*People!Z22*Assumptions!Z$211)</f>
        <v>22166.4604639906</v>
      </c>
      <c r="AA9" s="65" t="n">
        <f aca="false">IF(AA$5="A",Inputs_Actuals!AA144,Assumptions!$C$109*People!AA22*Assumptions!AA$211)</f>
        <v>22164.4379354873</v>
      </c>
      <c r="AB9" s="65" t="n">
        <f aca="false">IF(AB$5="A",Inputs_Actuals!AB144,Assumptions!$C$109*People!AB22*Assumptions!AB$211)</f>
        <v>22164.4716286864</v>
      </c>
    </row>
    <row r="10" customFormat="false" ht="15" hidden="false" customHeight="false" outlineLevel="0" collapsed="false">
      <c r="A10" s="28" t="s">
        <v>424</v>
      </c>
      <c r="B10" s="62" t="s">
        <v>1533</v>
      </c>
      <c r="C10" s="64" t="n">
        <f aca="false">SUM(E10:P10)</f>
        <v>465950.13</v>
      </c>
      <c r="D10" s="64" t="n">
        <f aca="false">SUM(Q10:AB10)</f>
        <v>471295</v>
      </c>
      <c r="E10" s="65" t="n">
        <f aca="false">IF(E$5="A",Inputs_Actuals!E145,Assumptions!$C$165*IF(Assumptions!E$206=2027,Assumptions!$F$197,1)*Assumptions!E$211*IF(OR(Assumptions!E$207=3,Assumptions!E$207=10),1.15,IF(Assumptions!E$207=8,0.8,1)))</f>
        <v>40122.19</v>
      </c>
      <c r="F10" s="65" t="n">
        <f aca="false">IF(F$5="A",Inputs_Actuals!F145,Assumptions!$C$165*IF(Assumptions!F$206=2027,Assumptions!$F$197,1)*Assumptions!F$211*IF(OR(Assumptions!F$207=3,Assumptions!F$207=10),1.15,IF(Assumptions!F$207=8,0.8,1)))</f>
        <v>38266.5</v>
      </c>
      <c r="G10" s="65" t="n">
        <f aca="false">IF(G$5="A",Inputs_Actuals!G145,Assumptions!$C$165*IF(Assumptions!G$206=2027,Assumptions!$F$197,1)*Assumptions!G$211*IF(OR(Assumptions!G$207=3,Assumptions!G$207=10),1.15,IF(Assumptions!G$207=8,0.8,1)))</f>
        <v>44158.36</v>
      </c>
      <c r="H10" s="65" t="n">
        <f aca="false">IF(H$5="A",Inputs_Actuals!H145,Assumptions!$C$165*IF(Assumptions!H$206=2027,Assumptions!$F$197,1)*Assumptions!H$211*IF(OR(Assumptions!H$207=3,Assumptions!H$207=10),1.15,IF(Assumptions!H$207=8,0.8,1)))</f>
        <v>39060.9</v>
      </c>
      <c r="I10" s="65" t="n">
        <f aca="false">IF(I$5="A",Inputs_Actuals!I145,Assumptions!$C$165*IF(Assumptions!I$206=2027,Assumptions!$F$197,1)*Assumptions!I$211*IF(OR(Assumptions!I$207=3,Assumptions!I$207=10),1.15,IF(Assumptions!I$207=8,0.8,1)))</f>
        <v>36977.95</v>
      </c>
      <c r="J10" s="65" t="n">
        <f aca="false">IF(J$5="A",Inputs_Actuals!J145,Assumptions!$C$165*IF(Assumptions!J$206=2027,Assumptions!$F$197,1)*Assumptions!J$211*IF(OR(Assumptions!J$207=3,Assumptions!J$207=10),1.15,IF(Assumptions!J$207=8,0.8,1)))</f>
        <v>39565.64</v>
      </c>
      <c r="K10" s="65" t="n">
        <f aca="false">IF(K$5="A",Inputs_Actuals!K145,Assumptions!$C$165*IF(Assumptions!K$206=2027,Assumptions!$F$197,1)*Assumptions!K$211*IF(OR(Assumptions!K$207=3,Assumptions!K$207=10),1.15,IF(Assumptions!K$207=8,0.8,1)))</f>
        <v>38526.92</v>
      </c>
      <c r="L10" s="65" t="n">
        <f aca="false">IF(L$5="A",Inputs_Actuals!L145,Assumptions!$C$165*IF(Assumptions!L$206=2027,Assumptions!$F$197,1)*Assumptions!L$211*IF(OR(Assumptions!L$207=3,Assumptions!L$207=10),1.15,IF(Assumptions!L$207=8,0.8,1)))</f>
        <v>31571.67</v>
      </c>
      <c r="M10" s="65" t="n">
        <f aca="false">IF(M$5="A",Inputs_Actuals!M145,Assumptions!$C$165*IF(Assumptions!M$206=2027,Assumptions!$F$197,1)*Assumptions!M$211*IF(OR(Assumptions!M$207=3,Assumptions!M$207=10),1.15,IF(Assumptions!M$207=8,0.8,1)))</f>
        <v>38000</v>
      </c>
      <c r="N10" s="65" t="n">
        <f aca="false">IF(N$5="A",Inputs_Actuals!N145,Assumptions!$C$165*IF(Assumptions!N$206=2027,Assumptions!$F$197,1)*Assumptions!N$211*IF(OR(Assumptions!N$207=3,Assumptions!N$207=10),1.15,IF(Assumptions!N$207=8,0.8,1)))</f>
        <v>43700</v>
      </c>
      <c r="O10" s="65" t="n">
        <f aca="false">IF(O$5="A",Inputs_Actuals!O145,Assumptions!$C$165*IF(Assumptions!O$206=2027,Assumptions!$F$197,1)*Assumptions!O$211*IF(OR(Assumptions!O$207=3,Assumptions!O$207=10),1.15,IF(Assumptions!O$207=8,0.8,1)))</f>
        <v>38000</v>
      </c>
      <c r="P10" s="65" t="n">
        <f aca="false">IF(P$5="A",Inputs_Actuals!P145,Assumptions!$C$165*IF(Assumptions!P$206=2027,Assumptions!$F$197,1)*Assumptions!P$211*IF(OR(Assumptions!P$207=3,Assumptions!P$207=10),1.15,IF(Assumptions!P$207=8,0.8,1)))</f>
        <v>38000</v>
      </c>
      <c r="Q10" s="65" t="n">
        <f aca="false">IF(Q$5="A",Inputs_Actuals!Q145,Assumptions!$C$165*IF(Assumptions!Q$206=2027,Assumptions!$F$197,1)*Assumptions!Q$211*IF(OR(Assumptions!Q$207=3,Assumptions!Q$207=10),1.15,IF(Assumptions!Q$207=8,0.8,1)))</f>
        <v>38950</v>
      </c>
      <c r="R10" s="65" t="n">
        <f aca="false">IF(R$5="A",Inputs_Actuals!R145,Assumptions!$C$165*IF(Assumptions!R$206=2027,Assumptions!$F$197,1)*Assumptions!R$211*IF(OR(Assumptions!R$207=3,Assumptions!R$207=10),1.15,IF(Assumptions!R$207=8,0.8,1)))</f>
        <v>38950</v>
      </c>
      <c r="S10" s="65" t="n">
        <f aca="false">IF(S$5="A",Inputs_Actuals!S145,Assumptions!$C$165*IF(Assumptions!S$206=2027,Assumptions!$F$197,1)*Assumptions!S$211*IF(OR(Assumptions!S$207=3,Assumptions!S$207=10),1.15,IF(Assumptions!S$207=8,0.8,1)))</f>
        <v>44792.5</v>
      </c>
      <c r="T10" s="65" t="n">
        <f aca="false">IF(T$5="A",Inputs_Actuals!T145,Assumptions!$C$165*IF(Assumptions!T$206=2027,Assumptions!$F$197,1)*Assumptions!T$211*IF(OR(Assumptions!T$207=3,Assumptions!T$207=10),1.15,IF(Assumptions!T$207=8,0.8,1)))</f>
        <v>38950</v>
      </c>
      <c r="U10" s="65" t="n">
        <f aca="false">IF(U$5="A",Inputs_Actuals!U145,Assumptions!$C$165*IF(Assumptions!U$206=2027,Assumptions!$F$197,1)*Assumptions!U$211*IF(OR(Assumptions!U$207=3,Assumptions!U$207=10),1.15,IF(Assumptions!U$207=8,0.8,1)))</f>
        <v>38950</v>
      </c>
      <c r="V10" s="65" t="n">
        <f aca="false">IF(V$5="A",Inputs_Actuals!V145,Assumptions!$C$165*IF(Assumptions!V$206=2027,Assumptions!$F$197,1)*Assumptions!V$211*IF(OR(Assumptions!V$207=3,Assumptions!V$207=10),1.15,IF(Assumptions!V$207=8,0.8,1)))</f>
        <v>38950</v>
      </c>
      <c r="W10" s="65" t="n">
        <f aca="false">IF(W$5="A",Inputs_Actuals!W145,Assumptions!$C$165*IF(Assumptions!W$206=2027,Assumptions!$F$197,1)*Assumptions!W$211*IF(OR(Assumptions!W$207=3,Assumptions!W$207=10),1.15,IF(Assumptions!W$207=8,0.8,1)))</f>
        <v>38950</v>
      </c>
      <c r="X10" s="65" t="n">
        <f aca="false">IF(X$5="A",Inputs_Actuals!X145,Assumptions!$C$165*IF(Assumptions!X$206=2027,Assumptions!$F$197,1)*Assumptions!X$211*IF(OR(Assumptions!X$207=3,Assumptions!X$207=10),1.15,IF(Assumptions!X$207=8,0.8,1)))</f>
        <v>31160</v>
      </c>
      <c r="Y10" s="65" t="n">
        <f aca="false">IF(Y$5="A",Inputs_Actuals!Y145,Assumptions!$C$165*IF(Assumptions!Y$206=2027,Assumptions!$F$197,1)*Assumptions!Y$211*IF(OR(Assumptions!Y$207=3,Assumptions!Y$207=10),1.15,IF(Assumptions!Y$207=8,0.8,1)))</f>
        <v>38950</v>
      </c>
      <c r="Z10" s="65" t="n">
        <f aca="false">IF(Z$5="A",Inputs_Actuals!Z145,Assumptions!$C$165*IF(Assumptions!Z$206=2027,Assumptions!$F$197,1)*Assumptions!Z$211*IF(OR(Assumptions!Z$207=3,Assumptions!Z$207=10),1.15,IF(Assumptions!Z$207=8,0.8,1)))</f>
        <v>44792.5</v>
      </c>
      <c r="AA10" s="65" t="n">
        <f aca="false">IF(AA$5="A",Inputs_Actuals!AA145,Assumptions!$C$165*IF(Assumptions!AA$206=2027,Assumptions!$F$197,1)*Assumptions!AA$211*IF(OR(Assumptions!AA$207=3,Assumptions!AA$207=10),1.15,IF(Assumptions!AA$207=8,0.8,1)))</f>
        <v>38950</v>
      </c>
      <c r="AB10" s="65" t="n">
        <f aca="false">IF(AB$5="A",Inputs_Actuals!AB145,Assumptions!$C$165*IF(Assumptions!AB$206=2027,Assumptions!$F$197,1)*Assumptions!AB$211*IF(OR(Assumptions!AB$207=3,Assumptions!AB$207=10),1.15,IF(Assumptions!AB$207=8,0.8,1)))</f>
        <v>38950</v>
      </c>
    </row>
    <row r="11" customFormat="false" ht="15" hidden="false" customHeight="false" outlineLevel="0" collapsed="false">
      <c r="A11" s="28" t="s">
        <v>425</v>
      </c>
      <c r="B11" s="62" t="s">
        <v>1534</v>
      </c>
      <c r="C11" s="64" t="n">
        <f aca="false">SUM(E11:P11)</f>
        <v>188088.2</v>
      </c>
      <c r="D11" s="64" t="n">
        <f aca="false">SUM(Q11:AB11)</f>
        <v>193725</v>
      </c>
      <c r="E11" s="65" t="n">
        <f aca="false">IF(E$5="A",Inputs_Actuals!E146,Assumptions!$C$166*IF(Assumptions!E$206=2027,Assumptions!$F$197,1)*Assumptions!E$211*IF(Assumptions!E$207=6,2.5,1))</f>
        <v>14295.59</v>
      </c>
      <c r="F11" s="65" t="n">
        <f aca="false">IF(F$5="A",Inputs_Actuals!F146,Assumptions!$C$166*IF(Assumptions!F$206=2027,Assumptions!$F$197,1)*Assumptions!F$211*IF(Assumptions!F$207=6,2.5,1))</f>
        <v>12160.67</v>
      </c>
      <c r="G11" s="65" t="n">
        <f aca="false">IF(G$5="A",Inputs_Actuals!G146,Assumptions!$C$166*IF(Assumptions!G$206=2027,Assumptions!$F$197,1)*Assumptions!G$211*IF(Assumptions!G$207=6,2.5,1))</f>
        <v>12759.39</v>
      </c>
      <c r="H11" s="65" t="n">
        <f aca="false">IF(H$5="A",Inputs_Actuals!H146,Assumptions!$C$166*IF(Assumptions!H$206=2027,Assumptions!$F$197,1)*Assumptions!H$211*IF(Assumptions!H$207=6,2.5,1))</f>
        <v>12697.28</v>
      </c>
      <c r="I11" s="65" t="n">
        <f aca="false">IF(I$5="A",Inputs_Actuals!I146,Assumptions!$C$166*IF(Assumptions!I$206=2027,Assumptions!$F$197,1)*Assumptions!I$211*IF(Assumptions!I$207=6,2.5,1))</f>
        <v>14181.74</v>
      </c>
      <c r="J11" s="65" t="n">
        <f aca="false">IF(J$5="A",Inputs_Actuals!J146,Assumptions!$C$166*IF(Assumptions!J$206=2027,Assumptions!$F$197,1)*Assumptions!J$211*IF(Assumptions!J$207=6,2.5,1))</f>
        <v>38077.73</v>
      </c>
      <c r="K11" s="65" t="n">
        <f aca="false">IF(K$5="A",Inputs_Actuals!K146,Assumptions!$C$166*IF(Assumptions!K$206=2027,Assumptions!$F$197,1)*Assumptions!K$211*IF(Assumptions!K$207=6,2.5,1))</f>
        <v>14789.14</v>
      </c>
      <c r="L11" s="65" t="n">
        <f aca="false">IF(L$5="A",Inputs_Actuals!L146,Assumptions!$C$166*IF(Assumptions!L$206=2027,Assumptions!$F$197,1)*Assumptions!L$211*IF(Assumptions!L$207=6,2.5,1))</f>
        <v>13126.66</v>
      </c>
      <c r="M11" s="65" t="n">
        <f aca="false">IF(M$5="A",Inputs_Actuals!M146,Assumptions!$C$166*IF(Assumptions!M$206=2027,Assumptions!$F$197,1)*Assumptions!M$211*IF(Assumptions!M$207=6,2.5,1))</f>
        <v>14000</v>
      </c>
      <c r="N11" s="65" t="n">
        <f aca="false">IF(N$5="A",Inputs_Actuals!N146,Assumptions!$C$166*IF(Assumptions!N$206=2027,Assumptions!$F$197,1)*Assumptions!N$211*IF(Assumptions!N$207=6,2.5,1))</f>
        <v>14000</v>
      </c>
      <c r="O11" s="65" t="n">
        <f aca="false">IF(O$5="A",Inputs_Actuals!O146,Assumptions!$C$166*IF(Assumptions!O$206=2027,Assumptions!$F$197,1)*Assumptions!O$211*IF(Assumptions!O$207=6,2.5,1))</f>
        <v>14000</v>
      </c>
      <c r="P11" s="65" t="n">
        <f aca="false">IF(P$5="A",Inputs_Actuals!P146,Assumptions!$C$166*IF(Assumptions!P$206=2027,Assumptions!$F$197,1)*Assumptions!P$211*IF(Assumptions!P$207=6,2.5,1))</f>
        <v>14000</v>
      </c>
      <c r="Q11" s="65" t="n">
        <f aca="false">IF(Q$5="A",Inputs_Actuals!Q146,Assumptions!$C$166*IF(Assumptions!Q$206=2027,Assumptions!$F$197,1)*Assumptions!Q$211*IF(Assumptions!Q$207=6,2.5,1))</f>
        <v>14350</v>
      </c>
      <c r="R11" s="65" t="n">
        <f aca="false">IF(R$5="A",Inputs_Actuals!R146,Assumptions!$C$166*IF(Assumptions!R$206=2027,Assumptions!$F$197,1)*Assumptions!R$211*IF(Assumptions!R$207=6,2.5,1))</f>
        <v>14350</v>
      </c>
      <c r="S11" s="65" t="n">
        <f aca="false">IF(S$5="A",Inputs_Actuals!S146,Assumptions!$C$166*IF(Assumptions!S$206=2027,Assumptions!$F$197,1)*Assumptions!S$211*IF(Assumptions!S$207=6,2.5,1))</f>
        <v>14350</v>
      </c>
      <c r="T11" s="65" t="n">
        <f aca="false">IF(T$5="A",Inputs_Actuals!T146,Assumptions!$C$166*IF(Assumptions!T$206=2027,Assumptions!$F$197,1)*Assumptions!T$211*IF(Assumptions!T$207=6,2.5,1))</f>
        <v>14350</v>
      </c>
      <c r="U11" s="65" t="n">
        <f aca="false">IF(U$5="A",Inputs_Actuals!U146,Assumptions!$C$166*IF(Assumptions!U$206=2027,Assumptions!$F$197,1)*Assumptions!U$211*IF(Assumptions!U$207=6,2.5,1))</f>
        <v>14350</v>
      </c>
      <c r="V11" s="65" t="n">
        <f aca="false">IF(V$5="A",Inputs_Actuals!V146,Assumptions!$C$166*IF(Assumptions!V$206=2027,Assumptions!$F$197,1)*Assumptions!V$211*IF(Assumptions!V$207=6,2.5,1))</f>
        <v>35875</v>
      </c>
      <c r="W11" s="65" t="n">
        <f aca="false">IF(W$5="A",Inputs_Actuals!W146,Assumptions!$C$166*IF(Assumptions!W$206=2027,Assumptions!$F$197,1)*Assumptions!W$211*IF(Assumptions!W$207=6,2.5,1))</f>
        <v>14350</v>
      </c>
      <c r="X11" s="65" t="n">
        <f aca="false">IF(X$5="A",Inputs_Actuals!X146,Assumptions!$C$166*IF(Assumptions!X$206=2027,Assumptions!$F$197,1)*Assumptions!X$211*IF(Assumptions!X$207=6,2.5,1))</f>
        <v>14350</v>
      </c>
      <c r="Y11" s="65" t="n">
        <f aca="false">IF(Y$5="A",Inputs_Actuals!Y146,Assumptions!$C$166*IF(Assumptions!Y$206=2027,Assumptions!$F$197,1)*Assumptions!Y$211*IF(Assumptions!Y$207=6,2.5,1))</f>
        <v>14350</v>
      </c>
      <c r="Z11" s="65" t="n">
        <f aca="false">IF(Z$5="A",Inputs_Actuals!Z146,Assumptions!$C$166*IF(Assumptions!Z$206=2027,Assumptions!$F$197,1)*Assumptions!Z$211*IF(Assumptions!Z$207=6,2.5,1))</f>
        <v>14350</v>
      </c>
      <c r="AA11" s="65" t="n">
        <f aca="false">IF(AA$5="A",Inputs_Actuals!AA146,Assumptions!$C$166*IF(Assumptions!AA$206=2027,Assumptions!$F$197,1)*Assumptions!AA$211*IF(Assumptions!AA$207=6,2.5,1))</f>
        <v>14350</v>
      </c>
      <c r="AB11" s="65" t="n">
        <f aca="false">IF(AB$5="A",Inputs_Actuals!AB146,Assumptions!$C$166*IF(Assumptions!AB$206=2027,Assumptions!$F$197,1)*Assumptions!AB$211*IF(Assumptions!AB$207=6,2.5,1))</f>
        <v>14350</v>
      </c>
    </row>
    <row r="12" customFormat="false" ht="15" hidden="false" customHeight="false" outlineLevel="0" collapsed="false">
      <c r="A12" s="28" t="s">
        <v>1535</v>
      </c>
      <c r="B12" s="62" t="s">
        <v>1534</v>
      </c>
      <c r="C12" s="64" t="n">
        <f aca="false">SUM(E12:P12)</f>
        <v>408000</v>
      </c>
      <c r="D12" s="64" t="n">
        <f aca="false">SUM(Q12:AB12)</f>
        <v>418200</v>
      </c>
      <c r="E12" s="65" t="n">
        <f aca="false">IF(E$5="A",Inputs_Actuals!E147,Assumptions!$C$167*Assumptions!E$211)</f>
        <v>34000</v>
      </c>
      <c r="F12" s="65" t="n">
        <f aca="false">IF(F$5="A",Inputs_Actuals!F147,Assumptions!$C$167*Assumptions!F$211)</f>
        <v>34000</v>
      </c>
      <c r="G12" s="65" t="n">
        <f aca="false">IF(G$5="A",Inputs_Actuals!G147,Assumptions!$C$167*Assumptions!G$211)</f>
        <v>34000</v>
      </c>
      <c r="H12" s="65" t="n">
        <f aca="false">IF(H$5="A",Inputs_Actuals!H147,Assumptions!$C$167*Assumptions!H$211)</f>
        <v>34000</v>
      </c>
      <c r="I12" s="65" t="n">
        <f aca="false">IF(I$5="A",Inputs_Actuals!I147,Assumptions!$C$167*Assumptions!I$211)</f>
        <v>34000</v>
      </c>
      <c r="J12" s="65" t="n">
        <f aca="false">IF(J$5="A",Inputs_Actuals!J147,Assumptions!$C$167*Assumptions!J$211)</f>
        <v>34000</v>
      </c>
      <c r="K12" s="65" t="n">
        <f aca="false">IF(K$5="A",Inputs_Actuals!K147,Assumptions!$C$167*Assumptions!K$211)</f>
        <v>34000</v>
      </c>
      <c r="L12" s="65" t="n">
        <f aca="false">IF(L$5="A",Inputs_Actuals!L147,Assumptions!$C$167*Assumptions!L$211)</f>
        <v>34000</v>
      </c>
      <c r="M12" s="65" t="n">
        <f aca="false">IF(M$5="A",Inputs_Actuals!M147,Assumptions!$C$167*Assumptions!M$211)</f>
        <v>34000</v>
      </c>
      <c r="N12" s="65" t="n">
        <f aca="false">IF(N$5="A",Inputs_Actuals!N147,Assumptions!$C$167*Assumptions!N$211)</f>
        <v>34000</v>
      </c>
      <c r="O12" s="65" t="n">
        <f aca="false">IF(O$5="A",Inputs_Actuals!O147,Assumptions!$C$167*Assumptions!O$211)</f>
        <v>34000</v>
      </c>
      <c r="P12" s="65" t="n">
        <f aca="false">IF(P$5="A",Inputs_Actuals!P147,Assumptions!$C$167*Assumptions!P$211)</f>
        <v>34000</v>
      </c>
      <c r="Q12" s="65" t="n">
        <f aca="false">IF(Q$5="A",Inputs_Actuals!Q147,Assumptions!$C$167*Assumptions!Q$211)</f>
        <v>34850</v>
      </c>
      <c r="R12" s="65" t="n">
        <f aca="false">IF(R$5="A",Inputs_Actuals!R147,Assumptions!$C$167*Assumptions!R$211)</f>
        <v>34850</v>
      </c>
      <c r="S12" s="65" t="n">
        <f aca="false">IF(S$5="A",Inputs_Actuals!S147,Assumptions!$C$167*Assumptions!S$211)</f>
        <v>34850</v>
      </c>
      <c r="T12" s="65" t="n">
        <f aca="false">IF(T$5="A",Inputs_Actuals!T147,Assumptions!$C$167*Assumptions!T$211)</f>
        <v>34850</v>
      </c>
      <c r="U12" s="65" t="n">
        <f aca="false">IF(U$5="A",Inputs_Actuals!U147,Assumptions!$C$167*Assumptions!U$211)</f>
        <v>34850</v>
      </c>
      <c r="V12" s="65" t="n">
        <f aca="false">IF(V$5="A",Inputs_Actuals!V147,Assumptions!$C$167*Assumptions!V$211)</f>
        <v>34850</v>
      </c>
      <c r="W12" s="65" t="n">
        <f aca="false">IF(W$5="A",Inputs_Actuals!W147,Assumptions!$C$167*Assumptions!W$211)</f>
        <v>34850</v>
      </c>
      <c r="X12" s="65" t="n">
        <f aca="false">IF(X$5="A",Inputs_Actuals!X147,Assumptions!$C$167*Assumptions!X$211)</f>
        <v>34850</v>
      </c>
      <c r="Y12" s="65" t="n">
        <f aca="false">IF(Y$5="A",Inputs_Actuals!Y147,Assumptions!$C$167*Assumptions!Y$211)</f>
        <v>34850</v>
      </c>
      <c r="Z12" s="65" t="n">
        <f aca="false">IF(Z$5="A",Inputs_Actuals!Z147,Assumptions!$C$167*Assumptions!Z$211)</f>
        <v>34850</v>
      </c>
      <c r="AA12" s="65" t="n">
        <f aca="false">IF(AA$5="A",Inputs_Actuals!AA147,Assumptions!$C$167*Assumptions!AA$211)</f>
        <v>34850</v>
      </c>
      <c r="AB12" s="65" t="n">
        <f aca="false">IF(AB$5="A",Inputs_Actuals!AB147,Assumptions!$C$167*Assumptions!AB$211)</f>
        <v>34850</v>
      </c>
    </row>
    <row r="13" customFormat="false" ht="15" hidden="false" customHeight="false" outlineLevel="0" collapsed="false">
      <c r="A13" s="28" t="s">
        <v>429</v>
      </c>
      <c r="B13" s="62" t="s">
        <v>1534</v>
      </c>
      <c r="C13" s="64" t="n">
        <f aca="false">SUM(E13:P13)</f>
        <v>212765.78</v>
      </c>
      <c r="D13" s="64" t="n">
        <f aca="false">SUM(Q13:AB13)</f>
        <v>216480</v>
      </c>
      <c r="E13" s="65" t="n">
        <f aca="false">IF(E$5="A",Inputs_Actuals!E148,Assumptions!$C$168*Assumptions!E$211*IF(Assumptions!E$207=3,2.2,1))</f>
        <v>16317.2</v>
      </c>
      <c r="F13" s="65" t="n">
        <f aca="false">IF(F$5="A",Inputs_Actuals!F148,Assumptions!$C$168*Assumptions!F$211*IF(Assumptions!F$207=3,2.2,1))</f>
        <v>16190.39</v>
      </c>
      <c r="G13" s="65" t="n">
        <f aca="false">IF(G$5="A",Inputs_Actuals!G148,Assumptions!$C$168*Assumptions!G$211*IF(Assumptions!G$207=3,2.2,1))</f>
        <v>34446.7</v>
      </c>
      <c r="H13" s="65" t="n">
        <f aca="false">IF(H$5="A",Inputs_Actuals!H148,Assumptions!$C$168*Assumptions!H$211*IF(Assumptions!H$207=3,2.2,1))</f>
        <v>17409.94</v>
      </c>
      <c r="I13" s="65" t="n">
        <f aca="false">IF(I$5="A",Inputs_Actuals!I148,Assumptions!$C$168*Assumptions!I$211*IF(Assumptions!I$207=3,2.2,1))</f>
        <v>15872.42</v>
      </c>
      <c r="J13" s="65" t="n">
        <f aca="false">IF(J$5="A",Inputs_Actuals!J148,Assumptions!$C$168*Assumptions!J$211*IF(Assumptions!J$207=3,2.2,1))</f>
        <v>15162.98</v>
      </c>
      <c r="K13" s="65" t="n">
        <f aca="false">IF(K$5="A",Inputs_Actuals!K148,Assumptions!$C$168*Assumptions!K$211*IF(Assumptions!K$207=3,2.2,1))</f>
        <v>17487.83</v>
      </c>
      <c r="L13" s="65" t="n">
        <f aca="false">IF(L$5="A",Inputs_Actuals!L148,Assumptions!$C$168*Assumptions!L$211*IF(Assumptions!L$207=3,2.2,1))</f>
        <v>15878.32</v>
      </c>
      <c r="M13" s="65" t="n">
        <f aca="false">IF(M$5="A",Inputs_Actuals!M148,Assumptions!$C$168*Assumptions!M$211*IF(Assumptions!M$207=3,2.2,1))</f>
        <v>16000</v>
      </c>
      <c r="N13" s="65" t="n">
        <f aca="false">IF(N$5="A",Inputs_Actuals!N148,Assumptions!$C$168*Assumptions!N$211*IF(Assumptions!N$207=3,2.2,1))</f>
        <v>16000</v>
      </c>
      <c r="O13" s="65" t="n">
        <f aca="false">IF(O$5="A",Inputs_Actuals!O148,Assumptions!$C$168*Assumptions!O$211*IF(Assumptions!O$207=3,2.2,1))</f>
        <v>16000</v>
      </c>
      <c r="P13" s="65" t="n">
        <f aca="false">IF(P$5="A",Inputs_Actuals!P148,Assumptions!$C$168*Assumptions!P$211*IF(Assumptions!P$207=3,2.2,1))</f>
        <v>16000</v>
      </c>
      <c r="Q13" s="65" t="n">
        <f aca="false">IF(Q$5="A",Inputs_Actuals!Q148,Assumptions!$C$168*Assumptions!Q$211*IF(Assumptions!Q$207=3,2.2,1))</f>
        <v>16400</v>
      </c>
      <c r="R13" s="65" t="n">
        <f aca="false">IF(R$5="A",Inputs_Actuals!R148,Assumptions!$C$168*Assumptions!R$211*IF(Assumptions!R$207=3,2.2,1))</f>
        <v>16400</v>
      </c>
      <c r="S13" s="65" t="n">
        <f aca="false">IF(S$5="A",Inputs_Actuals!S148,Assumptions!$C$168*Assumptions!S$211*IF(Assumptions!S$207=3,2.2,1))</f>
        <v>36080</v>
      </c>
      <c r="T13" s="65" t="n">
        <f aca="false">IF(T$5="A",Inputs_Actuals!T148,Assumptions!$C$168*Assumptions!T$211*IF(Assumptions!T$207=3,2.2,1))</f>
        <v>16400</v>
      </c>
      <c r="U13" s="65" t="n">
        <f aca="false">IF(U$5="A",Inputs_Actuals!U148,Assumptions!$C$168*Assumptions!U$211*IF(Assumptions!U$207=3,2.2,1))</f>
        <v>16400</v>
      </c>
      <c r="V13" s="65" t="n">
        <f aca="false">IF(V$5="A",Inputs_Actuals!V148,Assumptions!$C$168*Assumptions!V$211*IF(Assumptions!V$207=3,2.2,1))</f>
        <v>16400</v>
      </c>
      <c r="W13" s="65" t="n">
        <f aca="false">IF(W$5="A",Inputs_Actuals!W148,Assumptions!$C$168*Assumptions!W$211*IF(Assumptions!W$207=3,2.2,1))</f>
        <v>16400</v>
      </c>
      <c r="X13" s="65" t="n">
        <f aca="false">IF(X$5="A",Inputs_Actuals!X148,Assumptions!$C$168*Assumptions!X$211*IF(Assumptions!X$207=3,2.2,1))</f>
        <v>16400</v>
      </c>
      <c r="Y13" s="65" t="n">
        <f aca="false">IF(Y$5="A",Inputs_Actuals!Y148,Assumptions!$C$168*Assumptions!Y$211*IF(Assumptions!Y$207=3,2.2,1))</f>
        <v>16400</v>
      </c>
      <c r="Z13" s="65" t="n">
        <f aca="false">IF(Z$5="A",Inputs_Actuals!Z148,Assumptions!$C$168*Assumptions!Z$211*IF(Assumptions!Z$207=3,2.2,1))</f>
        <v>16400</v>
      </c>
      <c r="AA13" s="65" t="n">
        <f aca="false">IF(AA$5="A",Inputs_Actuals!AA148,Assumptions!$C$168*Assumptions!AA$211*IF(Assumptions!AA$207=3,2.2,1))</f>
        <v>16400</v>
      </c>
      <c r="AB13" s="65" t="n">
        <f aca="false">IF(AB$5="A",Inputs_Actuals!AB148,Assumptions!$C$168*Assumptions!AB$211*IF(Assumptions!AB$207=3,2.2,1))</f>
        <v>16400</v>
      </c>
    </row>
    <row r="14" customFormat="false" ht="15" hidden="false" customHeight="false" outlineLevel="0" collapsed="false">
      <c r="A14" s="28" t="s">
        <v>430</v>
      </c>
      <c r="B14" s="62" t="s">
        <v>1536</v>
      </c>
      <c r="C14" s="64" t="n">
        <f aca="false">SUM(E14:P14)</f>
        <v>54000</v>
      </c>
      <c r="D14" s="64" t="n">
        <f aca="false">SUM(Q14:AB14)</f>
        <v>55350</v>
      </c>
      <c r="E14" s="65" t="n">
        <f aca="false">IF(E$5="A",Inputs_Actuals!E149,Assumptions!$C$169*Assumptions!E$211)</f>
        <v>4500</v>
      </c>
      <c r="F14" s="65" t="n">
        <f aca="false">IF(F$5="A",Inputs_Actuals!F149,Assumptions!$C$169*Assumptions!F$211)</f>
        <v>4500</v>
      </c>
      <c r="G14" s="65" t="n">
        <f aca="false">IF(G$5="A",Inputs_Actuals!G149,Assumptions!$C$169*Assumptions!G$211)</f>
        <v>4500</v>
      </c>
      <c r="H14" s="65" t="n">
        <f aca="false">IF(H$5="A",Inputs_Actuals!H149,Assumptions!$C$169*Assumptions!H$211)</f>
        <v>4500</v>
      </c>
      <c r="I14" s="65" t="n">
        <f aca="false">IF(I$5="A",Inputs_Actuals!I149,Assumptions!$C$169*Assumptions!I$211)</f>
        <v>4500</v>
      </c>
      <c r="J14" s="65" t="n">
        <f aca="false">IF(J$5="A",Inputs_Actuals!J149,Assumptions!$C$169*Assumptions!J$211)</f>
        <v>4500</v>
      </c>
      <c r="K14" s="65" t="n">
        <f aca="false">IF(K$5="A",Inputs_Actuals!K149,Assumptions!$C$169*Assumptions!K$211)</f>
        <v>4500</v>
      </c>
      <c r="L14" s="65" t="n">
        <f aca="false">IF(L$5="A",Inputs_Actuals!L149,Assumptions!$C$169*Assumptions!L$211)</f>
        <v>4500</v>
      </c>
      <c r="M14" s="65" t="n">
        <f aca="false">IF(M$5="A",Inputs_Actuals!M149,Assumptions!$C$169*Assumptions!M$211)</f>
        <v>4500</v>
      </c>
      <c r="N14" s="65" t="n">
        <f aca="false">IF(N$5="A",Inputs_Actuals!N149,Assumptions!$C$169*Assumptions!N$211)</f>
        <v>4500</v>
      </c>
      <c r="O14" s="65" t="n">
        <f aca="false">IF(O$5="A",Inputs_Actuals!O149,Assumptions!$C$169*Assumptions!O$211)</f>
        <v>4500</v>
      </c>
      <c r="P14" s="65" t="n">
        <f aca="false">IF(P$5="A",Inputs_Actuals!P149,Assumptions!$C$169*Assumptions!P$211)</f>
        <v>4500</v>
      </c>
      <c r="Q14" s="65" t="n">
        <f aca="false">IF(Q$5="A",Inputs_Actuals!Q149,Assumptions!$C$169*Assumptions!Q$211)</f>
        <v>4612.5</v>
      </c>
      <c r="R14" s="65" t="n">
        <f aca="false">IF(R$5="A",Inputs_Actuals!R149,Assumptions!$C$169*Assumptions!R$211)</f>
        <v>4612.5</v>
      </c>
      <c r="S14" s="65" t="n">
        <f aca="false">IF(S$5="A",Inputs_Actuals!S149,Assumptions!$C$169*Assumptions!S$211)</f>
        <v>4612.5</v>
      </c>
      <c r="T14" s="65" t="n">
        <f aca="false">IF(T$5="A",Inputs_Actuals!T149,Assumptions!$C$169*Assumptions!T$211)</f>
        <v>4612.5</v>
      </c>
      <c r="U14" s="65" t="n">
        <f aca="false">IF(U$5="A",Inputs_Actuals!U149,Assumptions!$C$169*Assumptions!U$211)</f>
        <v>4612.5</v>
      </c>
      <c r="V14" s="65" t="n">
        <f aca="false">IF(V$5="A",Inputs_Actuals!V149,Assumptions!$C$169*Assumptions!V$211)</f>
        <v>4612.5</v>
      </c>
      <c r="W14" s="65" t="n">
        <f aca="false">IF(W$5="A",Inputs_Actuals!W149,Assumptions!$C$169*Assumptions!W$211)</f>
        <v>4612.5</v>
      </c>
      <c r="X14" s="65" t="n">
        <f aca="false">IF(X$5="A",Inputs_Actuals!X149,Assumptions!$C$169*Assumptions!X$211)</f>
        <v>4612.5</v>
      </c>
      <c r="Y14" s="65" t="n">
        <f aca="false">IF(Y$5="A",Inputs_Actuals!Y149,Assumptions!$C$169*Assumptions!Y$211)</f>
        <v>4612.5</v>
      </c>
      <c r="Z14" s="65" t="n">
        <f aca="false">IF(Z$5="A",Inputs_Actuals!Z149,Assumptions!$C$169*Assumptions!Z$211)</f>
        <v>4612.5</v>
      </c>
      <c r="AA14" s="65" t="n">
        <f aca="false">IF(AA$5="A",Inputs_Actuals!AA149,Assumptions!$C$169*Assumptions!AA$211)</f>
        <v>4612.5</v>
      </c>
      <c r="AB14" s="65" t="n">
        <f aca="false">IF(AB$5="A",Inputs_Actuals!AB149,Assumptions!$C$169*Assumptions!AB$211)</f>
        <v>4612.5</v>
      </c>
    </row>
    <row r="15" customFormat="false" ht="15" hidden="false" customHeight="false" outlineLevel="0" collapsed="false">
      <c r="A15" s="28" t="s">
        <v>431</v>
      </c>
      <c r="B15" s="62" t="s">
        <v>1534</v>
      </c>
      <c r="C15" s="64" t="n">
        <f aca="false">SUM(E15:P15)</f>
        <v>118987.695833333</v>
      </c>
      <c r="D15" s="64" t="n">
        <f aca="false">SUM(Q15:AB15)</f>
        <v>182572.236044663</v>
      </c>
      <c r="E15" s="65" t="n">
        <f aca="false">IF(E$5="A",Inputs_Actuals!E150,People!E255+Assumptions!$C$171)</f>
        <v>7675.8</v>
      </c>
      <c r="F15" s="65" t="n">
        <f aca="false">IF(F$5="A",Inputs_Actuals!F150,People!F255+Assumptions!$C$171)</f>
        <v>16033.25</v>
      </c>
      <c r="G15" s="65" t="n">
        <f aca="false">IF(G$5="A",Inputs_Actuals!G150,People!G255+Assumptions!$C$171)</f>
        <v>23048.39</v>
      </c>
      <c r="H15" s="65" t="n">
        <f aca="false">IF(H$5="A",Inputs_Actuals!H150,People!H255+Assumptions!$C$171)</f>
        <v>14790.36</v>
      </c>
      <c r="I15" s="65" t="n">
        <f aca="false">IF(I$5="A",Inputs_Actuals!I150,People!I255+Assumptions!$C$171)</f>
        <v>9257.09</v>
      </c>
      <c r="J15" s="65" t="n">
        <f aca="false">IF(J$5="A",Inputs_Actuals!J150,People!J255+Assumptions!$C$171)</f>
        <v>7702.66</v>
      </c>
      <c r="K15" s="65" t="n">
        <f aca="false">IF(K$5="A",Inputs_Actuals!K150,People!K255+Assumptions!$C$171)</f>
        <v>1000</v>
      </c>
      <c r="L15" s="65" t="n">
        <f aca="false">IF(L$5="A",Inputs_Actuals!L150,People!L255+Assumptions!$C$171)</f>
        <v>1000</v>
      </c>
      <c r="M15" s="65" t="n">
        <f aca="false">IF(M$5="A",Inputs_Actuals!M150,People!M255+Assumptions!$C$171)</f>
        <v>1000</v>
      </c>
      <c r="N15" s="65" t="n">
        <f aca="false">IF(N$5="A",Inputs_Actuals!N150,People!N255+Assumptions!$C$171)</f>
        <v>16000</v>
      </c>
      <c r="O15" s="65" t="n">
        <f aca="false">IF(O$5="A",Inputs_Actuals!O150,People!O255+Assumptions!$C$171)</f>
        <v>14525</v>
      </c>
      <c r="P15" s="65" t="n">
        <f aca="false">IF(P$5="A",Inputs_Actuals!P150,People!P255+Assumptions!$C$171)</f>
        <v>6955.14583333333</v>
      </c>
      <c r="Q15" s="65" t="n">
        <f aca="false">IF(Q$5="A",Inputs_Actuals!Q150,People!Q255+Assumptions!$C$171)</f>
        <v>44542.4383506944</v>
      </c>
      <c r="R15" s="65" t="n">
        <f aca="false">IF(R$5="A",Inputs_Actuals!R150,People!R255+Assumptions!$C$171)</f>
        <v>14667.5264949797</v>
      </c>
      <c r="S15" s="65" t="n">
        <f aca="false">IF(S$5="A",Inputs_Actuals!S150,People!S255+Assumptions!$C$171)</f>
        <v>14664.6287653364</v>
      </c>
      <c r="T15" s="65" t="n">
        <f aca="false">IF(T$5="A",Inputs_Actuals!T150,People!T255+Assumptions!$C$171)</f>
        <v>22568.8311055693</v>
      </c>
      <c r="U15" s="65" t="n">
        <f aca="false">IF(U$5="A",Inputs_Actuals!U150,People!U255+Assumptions!$C$171)</f>
        <v>7689.08918028669</v>
      </c>
      <c r="V15" s="65" t="n">
        <f aca="false">IF(V$5="A",Inputs_Actuals!V150,People!V255+Assumptions!$C$171)</f>
        <v>15244.7835923579</v>
      </c>
      <c r="W15" s="65" t="n">
        <f aca="false">IF(W$5="A",Inputs_Actuals!W150,People!W255+Assumptions!$C$171)</f>
        <v>15461.0863166168</v>
      </c>
      <c r="X15" s="65" t="n">
        <f aca="false">IF(X$5="A",Inputs_Actuals!X150,People!X255+Assumptions!$C$171)</f>
        <v>7957.4427493349</v>
      </c>
      <c r="Y15" s="65" t="n">
        <f aca="false">IF(Y$5="A",Inputs_Actuals!Y150,People!Y255+Assumptions!$C$171)</f>
        <v>15516.7760290749</v>
      </c>
      <c r="Z15" s="65" t="n">
        <f aca="false">IF(Z$5="A",Inputs_Actuals!Z150,People!Z255+Assumptions!$C$171)</f>
        <v>8066.35492354034</v>
      </c>
      <c r="AA15" s="65" t="n">
        <f aca="false">IF(AA$5="A",Inputs_Actuals!AA150,People!AA255+Assumptions!$C$171)</f>
        <v>8065.55161403546</v>
      </c>
      <c r="AB15" s="65" t="n">
        <f aca="false">IF(AB$5="A",Inputs_Actuals!AB150,People!AB255+Assumptions!$C$171)</f>
        <v>8127.72692283608</v>
      </c>
    </row>
    <row r="16" customFormat="false" ht="15" hidden="false" customHeight="false" outlineLevel="0" collapsed="false">
      <c r="A16" s="28" t="s">
        <v>1537</v>
      </c>
      <c r="B16" s="62" t="s">
        <v>1536</v>
      </c>
      <c r="C16" s="64" t="n">
        <f aca="false">SUM(E16:P16)</f>
        <v>131584</v>
      </c>
      <c r="D16" s="64" t="n">
        <f aca="false">SUM(Q16:AB16)</f>
        <v>135300</v>
      </c>
      <c r="E16" s="65" t="n">
        <f aca="false">IF(E$5="A",Inputs_Actuals!E151,Assumptions!$C$170*Assumptions!E$211)</f>
        <v>11939.7</v>
      </c>
      <c r="F16" s="65" t="n">
        <f aca="false">IF(F$5="A",Inputs_Actuals!F151,Assumptions!$C$170*Assumptions!F$211)</f>
        <v>11991.62</v>
      </c>
      <c r="G16" s="65" t="n">
        <f aca="false">IF(G$5="A",Inputs_Actuals!G151,Assumptions!$C$170*Assumptions!G$211)</f>
        <v>11894.58</v>
      </c>
      <c r="H16" s="65" t="n">
        <f aca="false">IF(H$5="A",Inputs_Actuals!H151,Assumptions!$C$170*Assumptions!H$211)</f>
        <v>10435.89</v>
      </c>
      <c r="I16" s="65" t="n">
        <f aca="false">IF(I$5="A",Inputs_Actuals!I151,Assumptions!$C$170*Assumptions!I$211)</f>
        <v>10844.45</v>
      </c>
      <c r="J16" s="65" t="n">
        <f aca="false">IF(J$5="A",Inputs_Actuals!J151,Assumptions!$C$170*Assumptions!J$211)</f>
        <v>10029.29</v>
      </c>
      <c r="K16" s="65" t="n">
        <f aca="false">IF(K$5="A",Inputs_Actuals!K151,Assumptions!$C$170*Assumptions!K$211)</f>
        <v>10860.83</v>
      </c>
      <c r="L16" s="65" t="n">
        <f aca="false">IF(L$5="A",Inputs_Actuals!L151,Assumptions!$C$170*Assumptions!L$211)</f>
        <v>9587.64</v>
      </c>
      <c r="M16" s="65" t="n">
        <f aca="false">IF(M$5="A",Inputs_Actuals!M151,Assumptions!$C$170*Assumptions!M$211)</f>
        <v>11000</v>
      </c>
      <c r="N16" s="65" t="n">
        <f aca="false">IF(N$5="A",Inputs_Actuals!N151,Assumptions!$C$170*Assumptions!N$211)</f>
        <v>11000</v>
      </c>
      <c r="O16" s="65" t="n">
        <f aca="false">IF(O$5="A",Inputs_Actuals!O151,Assumptions!$C$170*Assumptions!O$211)</f>
        <v>11000</v>
      </c>
      <c r="P16" s="65" t="n">
        <f aca="false">IF(P$5="A",Inputs_Actuals!P151,Assumptions!$C$170*Assumptions!P$211)</f>
        <v>11000</v>
      </c>
      <c r="Q16" s="65" t="n">
        <f aca="false">IF(Q$5="A",Inputs_Actuals!Q151,Assumptions!$C$170*Assumptions!Q$211)</f>
        <v>11275</v>
      </c>
      <c r="R16" s="65" t="n">
        <f aca="false">IF(R$5="A",Inputs_Actuals!R151,Assumptions!$C$170*Assumptions!R$211)</f>
        <v>11275</v>
      </c>
      <c r="S16" s="65" t="n">
        <f aca="false">IF(S$5="A",Inputs_Actuals!S151,Assumptions!$C$170*Assumptions!S$211)</f>
        <v>11275</v>
      </c>
      <c r="T16" s="65" t="n">
        <f aca="false">IF(T$5="A",Inputs_Actuals!T151,Assumptions!$C$170*Assumptions!T$211)</f>
        <v>11275</v>
      </c>
      <c r="U16" s="65" t="n">
        <f aca="false">IF(U$5="A",Inputs_Actuals!U151,Assumptions!$C$170*Assumptions!U$211)</f>
        <v>11275</v>
      </c>
      <c r="V16" s="65" t="n">
        <f aca="false">IF(V$5="A",Inputs_Actuals!V151,Assumptions!$C$170*Assumptions!V$211)</f>
        <v>11275</v>
      </c>
      <c r="W16" s="65" t="n">
        <f aca="false">IF(W$5="A",Inputs_Actuals!W151,Assumptions!$C$170*Assumptions!W$211)</f>
        <v>11275</v>
      </c>
      <c r="X16" s="65" t="n">
        <f aca="false">IF(X$5="A",Inputs_Actuals!X151,Assumptions!$C$170*Assumptions!X$211)</f>
        <v>11275</v>
      </c>
      <c r="Y16" s="65" t="n">
        <f aca="false">IF(Y$5="A",Inputs_Actuals!Y151,Assumptions!$C$170*Assumptions!Y$211)</f>
        <v>11275</v>
      </c>
      <c r="Z16" s="65" t="n">
        <f aca="false">IF(Z$5="A",Inputs_Actuals!Z151,Assumptions!$C$170*Assumptions!Z$211)</f>
        <v>11275</v>
      </c>
      <c r="AA16" s="65" t="n">
        <f aca="false">IF(AA$5="A",Inputs_Actuals!AA151,Assumptions!$C$170*Assumptions!AA$211)</f>
        <v>11275</v>
      </c>
      <c r="AB16" s="65" t="n">
        <f aca="false">IF(AB$5="A",Inputs_Actuals!AB151,Assumptions!$C$170*Assumptions!AB$211)</f>
        <v>11275</v>
      </c>
    </row>
    <row r="17" customFormat="false" ht="15" hidden="false" customHeight="false" outlineLevel="0" collapsed="false">
      <c r="A17" s="28" t="s">
        <v>433</v>
      </c>
      <c r="B17" s="62" t="s">
        <v>1536</v>
      </c>
      <c r="C17" s="64" t="n">
        <f aca="false">SUM(E17:P17)</f>
        <v>16800</v>
      </c>
      <c r="D17" s="64" t="n">
        <f aca="false">SUM(Q17:AB17)</f>
        <v>17600</v>
      </c>
      <c r="E17" s="65" t="n">
        <f aca="false">IF(E$5="A",Inputs_Actuals!E152,(Assumptions!E$224+Assumptions!E$225)/12)</f>
        <v>1400</v>
      </c>
      <c r="F17" s="65" t="n">
        <f aca="false">IF(F$5="A",Inputs_Actuals!F152,(Assumptions!F$224+Assumptions!F$225)/12)</f>
        <v>1400</v>
      </c>
      <c r="G17" s="65" t="n">
        <f aca="false">IF(G$5="A",Inputs_Actuals!G152,(Assumptions!G$224+Assumptions!G$225)/12)</f>
        <v>1400</v>
      </c>
      <c r="H17" s="65" t="n">
        <f aca="false">IF(H$5="A",Inputs_Actuals!H152,(Assumptions!H$224+Assumptions!H$225)/12)</f>
        <v>1400</v>
      </c>
      <c r="I17" s="65" t="n">
        <f aca="false">IF(I$5="A",Inputs_Actuals!I152,(Assumptions!I$224+Assumptions!I$225)/12)</f>
        <v>1400</v>
      </c>
      <c r="J17" s="65" t="n">
        <f aca="false">IF(J$5="A",Inputs_Actuals!J152,(Assumptions!J$224+Assumptions!J$225)/12)</f>
        <v>1400</v>
      </c>
      <c r="K17" s="65" t="n">
        <f aca="false">IF(K$5="A",Inputs_Actuals!K152,(Assumptions!K$224+Assumptions!K$225)/12)</f>
        <v>1400</v>
      </c>
      <c r="L17" s="65" t="n">
        <f aca="false">IF(L$5="A",Inputs_Actuals!L152,(Assumptions!L$224+Assumptions!L$225)/12)</f>
        <v>1400</v>
      </c>
      <c r="M17" s="65" t="n">
        <f aca="false">IF(M$5="A",Inputs_Actuals!M152,(Assumptions!M$224+Assumptions!M$225)/12)</f>
        <v>1400</v>
      </c>
      <c r="N17" s="65" t="n">
        <f aca="false">IF(N$5="A",Inputs_Actuals!N152,(Assumptions!N$224+Assumptions!N$225)/12)</f>
        <v>1400</v>
      </c>
      <c r="O17" s="65" t="n">
        <f aca="false">IF(O$5="A",Inputs_Actuals!O152,(Assumptions!O$224+Assumptions!O$225)/12)</f>
        <v>1400</v>
      </c>
      <c r="P17" s="65" t="n">
        <f aca="false">IF(P$5="A",Inputs_Actuals!P152,(Assumptions!P$224+Assumptions!P$225)/12)</f>
        <v>1400</v>
      </c>
      <c r="Q17" s="65" t="n">
        <f aca="false">IF(Q$5="A",Inputs_Actuals!Q152,(Assumptions!Q$224+Assumptions!Q$225)/12)</f>
        <v>1466.66666666667</v>
      </c>
      <c r="R17" s="65" t="n">
        <f aca="false">IF(R$5="A",Inputs_Actuals!R152,(Assumptions!R$224+Assumptions!R$225)/12)</f>
        <v>1466.66666666667</v>
      </c>
      <c r="S17" s="65" t="n">
        <f aca="false">IF(S$5="A",Inputs_Actuals!S152,(Assumptions!S$224+Assumptions!S$225)/12)</f>
        <v>1466.66666666667</v>
      </c>
      <c r="T17" s="65" t="n">
        <f aca="false">IF(T$5="A",Inputs_Actuals!T152,(Assumptions!T$224+Assumptions!T$225)/12)</f>
        <v>1466.66666666667</v>
      </c>
      <c r="U17" s="65" t="n">
        <f aca="false">IF(U$5="A",Inputs_Actuals!U152,(Assumptions!U$224+Assumptions!U$225)/12)</f>
        <v>1466.66666666667</v>
      </c>
      <c r="V17" s="65" t="n">
        <f aca="false">IF(V$5="A",Inputs_Actuals!V152,(Assumptions!V$224+Assumptions!V$225)/12)</f>
        <v>1466.66666666667</v>
      </c>
      <c r="W17" s="65" t="n">
        <f aca="false">IF(W$5="A",Inputs_Actuals!W152,(Assumptions!W$224+Assumptions!W$225)/12)</f>
        <v>1466.66666666667</v>
      </c>
      <c r="X17" s="65" t="n">
        <f aca="false">IF(X$5="A",Inputs_Actuals!X152,(Assumptions!X$224+Assumptions!X$225)/12)</f>
        <v>1466.66666666667</v>
      </c>
      <c r="Y17" s="65" t="n">
        <f aca="false">IF(Y$5="A",Inputs_Actuals!Y152,(Assumptions!Y$224+Assumptions!Y$225)/12)</f>
        <v>1466.66666666667</v>
      </c>
      <c r="Z17" s="65" t="n">
        <f aca="false">IF(Z$5="A",Inputs_Actuals!Z152,(Assumptions!Z$224+Assumptions!Z$225)/12)</f>
        <v>1466.66666666667</v>
      </c>
      <c r="AA17" s="65" t="n">
        <f aca="false">IF(AA$5="A",Inputs_Actuals!AA152,(Assumptions!AA$224+Assumptions!AA$225)/12)</f>
        <v>1466.66666666667</v>
      </c>
      <c r="AB17" s="65" t="n">
        <f aca="false">IF(AB$5="A",Inputs_Actuals!AB152,(Assumptions!AB$224+Assumptions!AB$225)/12)</f>
        <v>1466.66666666667</v>
      </c>
    </row>
    <row r="18" customFormat="false" ht="15" hidden="false" customHeight="false" outlineLevel="0" collapsed="false">
      <c r="A18" s="58" t="s">
        <v>1538</v>
      </c>
      <c r="B18" s="59"/>
      <c r="C18" s="60" t="n">
        <f aca="false">SUM(E18:P18)</f>
        <v>1817694.88959772</v>
      </c>
      <c r="D18" s="60" t="n">
        <f aca="false">SUM(Q18:AB18)</f>
        <v>1949830.07519222</v>
      </c>
      <c r="E18" s="60" t="n">
        <f aca="false">SUM(E9:E17)</f>
        <v>148214.65</v>
      </c>
      <c r="F18" s="60" t="n">
        <f aca="false">SUM(F9:F17)</f>
        <v>151928.02</v>
      </c>
      <c r="G18" s="60" t="n">
        <f aca="false">SUM(G9:G17)</f>
        <v>184331.27</v>
      </c>
      <c r="H18" s="60" t="n">
        <f aca="false">SUM(H9:H17)</f>
        <v>154163.93</v>
      </c>
      <c r="I18" s="60" t="n">
        <f aca="false">SUM(I9:I17)</f>
        <v>144978.52</v>
      </c>
      <c r="J18" s="60" t="n">
        <f aca="false">SUM(J9:J17)</f>
        <v>168731.82</v>
      </c>
      <c r="K18" s="60" t="n">
        <f aca="false">SUM(K9:K17)</f>
        <v>141063.1</v>
      </c>
      <c r="L18" s="60" t="n">
        <f aca="false">SUM(L9:L17)</f>
        <v>130014.24</v>
      </c>
      <c r="M18" s="60" t="n">
        <f aca="false">SUM(M9:M17)</f>
        <v>138187.2</v>
      </c>
      <c r="N18" s="60" t="n">
        <f aca="false">SUM(N9:N17)</f>
        <v>159176.635333333</v>
      </c>
      <c r="O18" s="60" t="n">
        <f aca="false">SUM(O9:O17)</f>
        <v>152241.077306111</v>
      </c>
      <c r="P18" s="60" t="n">
        <f aca="false">SUM(P9:P17)</f>
        <v>144664.426958272</v>
      </c>
      <c r="Q18" s="60" t="n">
        <f aca="false">SUM(Q9:Q17)</f>
        <v>186952.110324823</v>
      </c>
      <c r="R18" s="60" t="n">
        <f aca="false">SUM(R9:R17)</f>
        <v>157310.035677881</v>
      </c>
      <c r="S18" s="60" t="n">
        <f aca="false">SUM(S9:S17)</f>
        <v>183058.435646627</v>
      </c>
      <c r="T18" s="60" t="n">
        <f aca="false">SUM(T9:T17)</f>
        <v>165926.366745293</v>
      </c>
      <c r="U18" s="60" t="n">
        <f aca="false">SUM(U9:U17)</f>
        <v>151037.703313939</v>
      </c>
      <c r="V18" s="60" t="n">
        <f aca="false">SUM(V9:V17)</f>
        <v>180357.422505661</v>
      </c>
      <c r="W18" s="60" t="n">
        <f aca="false">SUM(W9:W17)</f>
        <v>159292.898607352</v>
      </c>
      <c r="X18" s="60" t="n">
        <f aca="false">SUM(X9:X17)</f>
        <v>143995.682720756</v>
      </c>
      <c r="Y18" s="60" t="n">
        <f aca="false">SUM(Y9:Y17)</f>
        <v>159589.416161309</v>
      </c>
      <c r="Z18" s="60" t="n">
        <f aca="false">SUM(Z9:Z17)</f>
        <v>157979.482054198</v>
      </c>
      <c r="AA18" s="60" t="n">
        <f aca="false">SUM(AA9:AA17)</f>
        <v>152134.156216189</v>
      </c>
      <c r="AB18" s="60" t="n">
        <f aca="false">SUM(AB9:AB17)</f>
        <v>152196.365218189</v>
      </c>
    </row>
    <row r="19" customFormat="false" ht="15" hidden="false" customHeight="false" outlineLevel="0" collapsed="false">
      <c r="A19" s="22" t="s">
        <v>1539</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1540</v>
      </c>
      <c r="B20" s="62" t="s">
        <v>1541</v>
      </c>
      <c r="C20" s="64" t="n">
        <f aca="false">SUM(E20:P20)</f>
        <v>489600</v>
      </c>
      <c r="D20" s="64" t="n">
        <f aca="false">SUM(Q20:AB20)</f>
        <v>501840</v>
      </c>
      <c r="E20" s="65" t="n">
        <f aca="false">IF(E$5="A",Inputs_Actuals!E166,IF(MOD(Assumptions!E$207-1,3)=0,3*Assumptions!$C$167*Assumptions!E$211*(1+Assumptions!$C$18),0))</f>
        <v>122400</v>
      </c>
      <c r="F20" s="65" t="n">
        <f aca="false">IF(F$5="A",Inputs_Actuals!F166,IF(MOD(Assumptions!F$207-1,3)=0,3*Assumptions!$C$167*Assumptions!F$211*(1+Assumptions!$C$18),0))</f>
        <v>0</v>
      </c>
      <c r="G20" s="65" t="n">
        <f aca="false">IF(G$5="A",Inputs_Actuals!G166,IF(MOD(Assumptions!G$207-1,3)=0,3*Assumptions!$C$167*Assumptions!G$211*(1+Assumptions!$C$18),0))</f>
        <v>0</v>
      </c>
      <c r="H20" s="65" t="n">
        <f aca="false">IF(H$5="A",Inputs_Actuals!H166,IF(MOD(Assumptions!H$207-1,3)=0,3*Assumptions!$C$167*Assumptions!H$211*(1+Assumptions!$C$18),0))</f>
        <v>122400</v>
      </c>
      <c r="I20" s="65" t="n">
        <f aca="false">IF(I$5="A",Inputs_Actuals!I166,IF(MOD(Assumptions!I$207-1,3)=0,3*Assumptions!$C$167*Assumptions!I$211*(1+Assumptions!$C$18),0))</f>
        <v>0</v>
      </c>
      <c r="J20" s="65" t="n">
        <f aca="false">IF(J$5="A",Inputs_Actuals!J166,IF(MOD(Assumptions!J$207-1,3)=0,3*Assumptions!$C$167*Assumptions!J$211*(1+Assumptions!$C$18),0))</f>
        <v>0</v>
      </c>
      <c r="K20" s="65" t="n">
        <f aca="false">IF(K$5="A",Inputs_Actuals!K166,IF(MOD(Assumptions!K$207-1,3)=0,3*Assumptions!$C$167*Assumptions!K$211*(1+Assumptions!$C$18),0))</f>
        <v>122400</v>
      </c>
      <c r="L20" s="65" t="n">
        <f aca="false">IF(L$5="A",Inputs_Actuals!L166,IF(MOD(Assumptions!L$207-1,3)=0,3*Assumptions!$C$167*Assumptions!L$211*(1+Assumptions!$C$18),0))</f>
        <v>0</v>
      </c>
      <c r="M20" s="65" t="n">
        <f aca="false">IF(M$5="A",Inputs_Actuals!M166,IF(MOD(Assumptions!M$207-1,3)=0,3*Assumptions!$C$167*Assumptions!M$211*(1+Assumptions!$C$18),0))</f>
        <v>0</v>
      </c>
      <c r="N20" s="65" t="n">
        <f aca="false">IF(N$5="A",Inputs_Actuals!N166,IF(MOD(Assumptions!N$207-1,3)=0,3*Assumptions!$C$167*Assumptions!N$211*(1+Assumptions!$C$18),0))</f>
        <v>122400</v>
      </c>
      <c r="O20" s="65" t="n">
        <f aca="false">IF(O$5="A",Inputs_Actuals!O166,IF(MOD(Assumptions!O$207-1,3)=0,3*Assumptions!$C$167*Assumptions!O$211*(1+Assumptions!$C$18),0))</f>
        <v>0</v>
      </c>
      <c r="P20" s="65" t="n">
        <f aca="false">IF(P$5="A",Inputs_Actuals!P166,IF(MOD(Assumptions!P$207-1,3)=0,3*Assumptions!$C$167*Assumptions!P$211*(1+Assumptions!$C$18),0))</f>
        <v>0</v>
      </c>
      <c r="Q20" s="65" t="n">
        <f aca="false">IF(Q$5="A",Inputs_Actuals!Q166,IF(MOD(Assumptions!Q$207-1,3)=0,3*Assumptions!$C$167*Assumptions!Q$211*(1+Assumptions!$C$18),0))</f>
        <v>125460</v>
      </c>
      <c r="R20" s="65" t="n">
        <f aca="false">IF(R$5="A",Inputs_Actuals!R166,IF(MOD(Assumptions!R$207-1,3)=0,3*Assumptions!$C$167*Assumptions!R$211*(1+Assumptions!$C$18),0))</f>
        <v>0</v>
      </c>
      <c r="S20" s="65" t="n">
        <f aca="false">IF(S$5="A",Inputs_Actuals!S166,IF(MOD(Assumptions!S$207-1,3)=0,3*Assumptions!$C$167*Assumptions!S$211*(1+Assumptions!$C$18),0))</f>
        <v>0</v>
      </c>
      <c r="T20" s="65" t="n">
        <f aca="false">IF(T$5="A",Inputs_Actuals!T166,IF(MOD(Assumptions!T$207-1,3)=0,3*Assumptions!$C$167*Assumptions!T$211*(1+Assumptions!$C$18),0))</f>
        <v>125460</v>
      </c>
      <c r="U20" s="65" t="n">
        <f aca="false">IF(U$5="A",Inputs_Actuals!U166,IF(MOD(Assumptions!U$207-1,3)=0,3*Assumptions!$C$167*Assumptions!U$211*(1+Assumptions!$C$18),0))</f>
        <v>0</v>
      </c>
      <c r="V20" s="65" t="n">
        <f aca="false">IF(V$5="A",Inputs_Actuals!V166,IF(MOD(Assumptions!V$207-1,3)=0,3*Assumptions!$C$167*Assumptions!V$211*(1+Assumptions!$C$18),0))</f>
        <v>0</v>
      </c>
      <c r="W20" s="65" t="n">
        <f aca="false">IF(W$5="A",Inputs_Actuals!W166,IF(MOD(Assumptions!W$207-1,3)=0,3*Assumptions!$C$167*Assumptions!W$211*(1+Assumptions!$C$18),0))</f>
        <v>125460</v>
      </c>
      <c r="X20" s="65" t="n">
        <f aca="false">IF(X$5="A",Inputs_Actuals!X166,IF(MOD(Assumptions!X$207-1,3)=0,3*Assumptions!$C$167*Assumptions!X$211*(1+Assumptions!$C$18),0))</f>
        <v>0</v>
      </c>
      <c r="Y20" s="65" t="n">
        <f aca="false">IF(Y$5="A",Inputs_Actuals!Y166,IF(MOD(Assumptions!Y$207-1,3)=0,3*Assumptions!$C$167*Assumptions!Y$211*(1+Assumptions!$C$18),0))</f>
        <v>0</v>
      </c>
      <c r="Z20" s="65" t="n">
        <f aca="false">IF(Z$5="A",Inputs_Actuals!Z166,IF(MOD(Assumptions!Z$207-1,3)=0,3*Assumptions!$C$167*Assumptions!Z$211*(1+Assumptions!$C$18),0))</f>
        <v>125460</v>
      </c>
      <c r="AA20" s="65" t="n">
        <f aca="false">IF(AA$5="A",Inputs_Actuals!AA166,IF(MOD(Assumptions!AA$207-1,3)=0,3*Assumptions!$C$167*Assumptions!AA$211*(1+Assumptions!$C$18),0))</f>
        <v>0</v>
      </c>
      <c r="AB20" s="65" t="n">
        <f aca="false">IF(AB$5="A",Inputs_Actuals!AB166,IF(MOD(Assumptions!AB$207-1,3)=0,3*Assumptions!$C$167*Assumptions!AB$211*(1+Assumptions!$C$18),0))</f>
        <v>0</v>
      </c>
    </row>
    <row r="21" customFormat="false" ht="15" hidden="false" customHeight="false" outlineLevel="0" collapsed="false">
      <c r="A21" s="58" t="s">
        <v>1542</v>
      </c>
      <c r="B21" s="59" t="s">
        <v>1543</v>
      </c>
      <c r="C21" s="60" t="n">
        <f aca="false">P21</f>
        <v>0</v>
      </c>
      <c r="D21" s="60" t="n">
        <f aca="false">AB21</f>
        <v>0</v>
      </c>
      <c r="E21" s="61" t="n">
        <f aca="false">0+E20/(1+Assumptions!$C$18)-E12</f>
        <v>68000</v>
      </c>
      <c r="F21" s="61" t="n">
        <f aca="false">E21+F20/(1+Assumptions!$C$18)-F12</f>
        <v>34000</v>
      </c>
      <c r="G21" s="61" t="n">
        <f aca="false">F21+G20/(1+Assumptions!$C$18)-G12</f>
        <v>0</v>
      </c>
      <c r="H21" s="61" t="n">
        <f aca="false">G21+H20/(1+Assumptions!$C$18)-H12</f>
        <v>68000</v>
      </c>
      <c r="I21" s="61" t="n">
        <f aca="false">H21+I20/(1+Assumptions!$C$18)-I12</f>
        <v>34000</v>
      </c>
      <c r="J21" s="61" t="n">
        <f aca="false">I21+J20/(1+Assumptions!$C$18)-J12</f>
        <v>0</v>
      </c>
      <c r="K21" s="61" t="n">
        <f aca="false">J21+K20/(1+Assumptions!$C$18)-K12</f>
        <v>68000</v>
      </c>
      <c r="L21" s="61" t="n">
        <f aca="false">K21+L20/(1+Assumptions!$C$18)-L12</f>
        <v>34000</v>
      </c>
      <c r="M21" s="61" t="n">
        <f aca="false">L21+M20/(1+Assumptions!$C$18)-M12</f>
        <v>0</v>
      </c>
      <c r="N21" s="61" t="n">
        <f aca="false">M21+N20/(1+Assumptions!$C$18)-N12</f>
        <v>68000</v>
      </c>
      <c r="O21" s="61" t="n">
        <f aca="false">N21+O20/(1+Assumptions!$C$18)-O12</f>
        <v>34000</v>
      </c>
      <c r="P21" s="61" t="n">
        <f aca="false">O21+P20/(1+Assumptions!$C$18)-P12</f>
        <v>0</v>
      </c>
      <c r="Q21" s="61" t="n">
        <f aca="false">P21+Q20/(1+Assumptions!$C$18)-Q12</f>
        <v>69700</v>
      </c>
      <c r="R21" s="61" t="n">
        <f aca="false">Q21+R20/(1+Assumptions!$C$18)-R12</f>
        <v>34850</v>
      </c>
      <c r="S21" s="61" t="n">
        <f aca="false">R21+S20/(1+Assumptions!$C$18)-S12</f>
        <v>0</v>
      </c>
      <c r="T21" s="61" t="n">
        <f aca="false">S21+T20/(1+Assumptions!$C$18)-T12</f>
        <v>69700</v>
      </c>
      <c r="U21" s="61" t="n">
        <f aca="false">T21+U20/(1+Assumptions!$C$18)-U12</f>
        <v>34850</v>
      </c>
      <c r="V21" s="61" t="n">
        <f aca="false">U21+V20/(1+Assumptions!$C$18)-V12</f>
        <v>0</v>
      </c>
      <c r="W21" s="61" t="n">
        <f aca="false">V21+W20/(1+Assumptions!$C$18)-W12</f>
        <v>69700</v>
      </c>
      <c r="X21" s="61" t="n">
        <f aca="false">W21+X20/(1+Assumptions!$C$18)-X12</f>
        <v>34850</v>
      </c>
      <c r="Y21" s="61" t="n">
        <f aca="false">X21+Y20/(1+Assumptions!$C$18)-Y12</f>
        <v>0</v>
      </c>
      <c r="Z21" s="61" t="n">
        <f aca="false">Y21+Z20/(1+Assumptions!$C$18)-Z12</f>
        <v>69700</v>
      </c>
      <c r="AA21" s="61" t="n">
        <f aca="false">Z21+AA20/(1+Assumptions!$C$18)-AA12</f>
        <v>34850</v>
      </c>
      <c r="AB21" s="61" t="n">
        <f aca="false">AA21+AB20/(1+Assumptions!$C$18)-AB12</f>
        <v>0</v>
      </c>
    </row>
    <row r="22" customFormat="false" ht="15" hidden="false" customHeight="false" outlineLevel="0" collapsed="false">
      <c r="A22" s="28" t="s">
        <v>1544</v>
      </c>
      <c r="B22" s="62" t="s">
        <v>1545</v>
      </c>
      <c r="C22" s="64" t="n">
        <f aca="false">SUM(E22:P22)</f>
        <v>54000</v>
      </c>
      <c r="D22" s="64" t="n">
        <f aca="false">SUM(Q22:AB22)</f>
        <v>55350</v>
      </c>
      <c r="E22" s="65" t="n">
        <f aca="false">IF(E$5="A",Inputs_Actuals!E167,E14)</f>
        <v>4500</v>
      </c>
      <c r="F22" s="65" t="n">
        <f aca="false">IF(F$5="A",Inputs_Actuals!F167,F14)</f>
        <v>4500</v>
      </c>
      <c r="G22" s="65" t="n">
        <f aca="false">IF(G$5="A",Inputs_Actuals!G167,G14)</f>
        <v>4500</v>
      </c>
      <c r="H22" s="65" t="n">
        <f aca="false">IF(H$5="A",Inputs_Actuals!H167,H14)</f>
        <v>4500</v>
      </c>
      <c r="I22" s="65" t="n">
        <f aca="false">IF(I$5="A",Inputs_Actuals!I167,I14)</f>
        <v>4500</v>
      </c>
      <c r="J22" s="65" t="n">
        <f aca="false">IF(J$5="A",Inputs_Actuals!J167,J14)</f>
        <v>4500</v>
      </c>
      <c r="K22" s="65" t="n">
        <f aca="false">IF(K$5="A",Inputs_Actuals!K167,K14)</f>
        <v>4500</v>
      </c>
      <c r="L22" s="65" t="n">
        <f aca="false">IF(L$5="A",Inputs_Actuals!L167,L14)</f>
        <v>4500</v>
      </c>
      <c r="M22" s="65" t="n">
        <f aca="false">IF(M$5="A",Inputs_Actuals!M167,M14)</f>
        <v>4500</v>
      </c>
      <c r="N22" s="65" t="n">
        <f aca="false">IF(N$5="A",Inputs_Actuals!N167,N14)</f>
        <v>4500</v>
      </c>
      <c r="O22" s="65" t="n">
        <f aca="false">IF(O$5="A",Inputs_Actuals!O167,O14)</f>
        <v>4500</v>
      </c>
      <c r="P22" s="65" t="n">
        <f aca="false">IF(P$5="A",Inputs_Actuals!P167,P14)</f>
        <v>4500</v>
      </c>
      <c r="Q22" s="65" t="n">
        <f aca="false">IF(Q$5="A",Inputs_Actuals!Q167,Q14)</f>
        <v>4612.5</v>
      </c>
      <c r="R22" s="65" t="n">
        <f aca="false">IF(R$5="A",Inputs_Actuals!R167,R14)</f>
        <v>4612.5</v>
      </c>
      <c r="S22" s="65" t="n">
        <f aca="false">IF(S$5="A",Inputs_Actuals!S167,S14)</f>
        <v>4612.5</v>
      </c>
      <c r="T22" s="65" t="n">
        <f aca="false">IF(T$5="A",Inputs_Actuals!T167,T14)</f>
        <v>4612.5</v>
      </c>
      <c r="U22" s="65" t="n">
        <f aca="false">IF(U$5="A",Inputs_Actuals!U167,U14)</f>
        <v>4612.5</v>
      </c>
      <c r="V22" s="65" t="n">
        <f aca="false">IF(V$5="A",Inputs_Actuals!V167,V14)</f>
        <v>4612.5</v>
      </c>
      <c r="W22" s="65" t="n">
        <f aca="false">IF(W$5="A",Inputs_Actuals!W167,W14)</f>
        <v>4612.5</v>
      </c>
      <c r="X22" s="65" t="n">
        <f aca="false">IF(X$5="A",Inputs_Actuals!X167,X14)</f>
        <v>4612.5</v>
      </c>
      <c r="Y22" s="65" t="n">
        <f aca="false">IF(Y$5="A",Inputs_Actuals!Y167,Y14)</f>
        <v>4612.5</v>
      </c>
      <c r="Z22" s="65" t="n">
        <f aca="false">IF(Z$5="A",Inputs_Actuals!Z167,Z14)</f>
        <v>4612.5</v>
      </c>
      <c r="AA22" s="65" t="n">
        <f aca="false">IF(AA$5="A",Inputs_Actuals!AA167,AA14)</f>
        <v>4612.5</v>
      </c>
      <c r="AB22" s="65" t="n">
        <f aca="false">IF(AB$5="A",Inputs_Actuals!AB167,AB14)</f>
        <v>4612.5</v>
      </c>
    </row>
    <row r="23" customFormat="false" ht="15" hidden="false" customHeight="false" outlineLevel="0" collapsed="false">
      <c r="A23" s="22" t="s">
        <v>1546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1547</v>
      </c>
      <c r="B24" s="62" t="s">
        <v>1548</v>
      </c>
      <c r="C24" s="64" t="n">
        <f aca="false">SUM(E24:P24)</f>
        <v>17100</v>
      </c>
      <c r="D24" s="64" t="n">
        <f aca="false">SUM(Q24:AB24)</f>
        <v>17400</v>
      </c>
      <c r="E24" s="65" t="n">
        <f aca="false">IF(E$5="A",Inputs_Actuals!E172,IF(Assumptions!E$207=5,IF(Assumptions!E$206=2026,0,Assumptions!$C$37-2*Assumptions!$C$38),IF(Assumptions!E$207=6,IF(Assumptions!E$206=2026,0.5*Assumptions!$C$231+Assumptions!$C$38,0.5*Assumptions!$C$36+0.5*Assumptions!$C$37),IF(Assumptions!E$207=9,IF(Assumptions!E$206=2026,Assumptions!$C$38,0.5*Assumptions!$C$37),IF(Assumptions!E$207=12,IF(Assumptions!E$206=2026,Assumptions!$C$36-0.5*Assumptions!$C$231,Assumptions!$C$39-0.5*Assumptions!$C$36),0)))))</f>
        <v>0</v>
      </c>
      <c r="F24" s="65" t="n">
        <f aca="false">IF(F$5="A",Inputs_Actuals!F172,IF(Assumptions!F$207=5,IF(Assumptions!F$206=2026,0,Assumptions!$C$37-2*Assumptions!$C$38),IF(Assumptions!F$207=6,IF(Assumptions!F$206=2026,0.5*Assumptions!$C$231+Assumptions!$C$38,0.5*Assumptions!$C$36+0.5*Assumptions!$C$37),IF(Assumptions!F$207=9,IF(Assumptions!F$206=2026,Assumptions!$C$38,0.5*Assumptions!$C$37),IF(Assumptions!F$207=12,IF(Assumptions!F$206=2026,Assumptions!$C$36-0.5*Assumptions!$C$231,Assumptions!$C$39-0.5*Assumptions!$C$36),0)))))</f>
        <v>0</v>
      </c>
      <c r="G24" s="65" t="n">
        <f aca="false">IF(G$5="A",Inputs_Actuals!G172,IF(Assumptions!G$207=5,IF(Assumptions!G$206=2026,0,Assumptions!$C$37-2*Assumptions!$C$38),IF(Assumptions!G$207=6,IF(Assumptions!G$206=2026,0.5*Assumptions!$C$231+Assumptions!$C$38,0.5*Assumptions!$C$36+0.5*Assumptions!$C$37),IF(Assumptions!G$207=9,IF(Assumptions!G$206=2026,Assumptions!$C$38,0.5*Assumptions!$C$37),IF(Assumptions!G$207=12,IF(Assumptions!G$206=2026,Assumptions!$C$36-0.5*Assumptions!$C$231,Assumptions!$C$39-0.5*Assumptions!$C$36),0)))))</f>
        <v>0</v>
      </c>
      <c r="H24" s="65" t="n">
        <f aca="false">IF(H$5="A",Inputs_Actuals!H172,IF(Assumptions!H$207=5,IF(Assumptions!H$206=2026,0,Assumptions!$C$37-2*Assumptions!$C$38),IF(Assumptions!H$207=6,IF(Assumptions!H$206=2026,0.5*Assumptions!$C$231+Assumptions!$C$38,0.5*Assumptions!$C$36+0.5*Assumptions!$C$37),IF(Assumptions!H$207=9,IF(Assumptions!H$206=2026,Assumptions!$C$38,0.5*Assumptions!$C$37),IF(Assumptions!H$207=12,IF(Assumptions!H$206=2026,Assumptions!$C$36-0.5*Assumptions!$C$231,Assumptions!$C$39-0.5*Assumptions!$C$36),0)))))</f>
        <v>0</v>
      </c>
      <c r="I24" s="65" t="n">
        <f aca="false">IF(I$5="A",Inputs_Actuals!I172,IF(Assumptions!I$207=5,IF(Assumptions!I$206=2026,0,Assumptions!$C$37-2*Assumptions!$C$38),IF(Assumptions!I$207=6,IF(Assumptions!I$206=2026,0.5*Assumptions!$C$231+Assumptions!$C$38,0.5*Assumptions!$C$36+0.5*Assumptions!$C$37),IF(Assumptions!I$207=9,IF(Assumptions!I$206=2026,Assumptions!$C$38,0.5*Assumptions!$C$37),IF(Assumptions!I$207=12,IF(Assumptions!I$206=2026,Assumptions!$C$36-0.5*Assumptions!$C$231,Assumptions!$C$39-0.5*Assumptions!$C$36),0)))))</f>
        <v>500</v>
      </c>
      <c r="J24" s="65" t="n">
        <f aca="false">IF(J$5="A",Inputs_Actuals!J172,IF(Assumptions!J$207=5,IF(Assumptions!J$206=2026,0,Assumptions!$C$37-2*Assumptions!$C$38),IF(Assumptions!J$207=6,IF(Assumptions!J$206=2026,0.5*Assumptions!$C$231+Assumptions!$C$38,0.5*Assumptions!$C$36+0.5*Assumptions!$C$37),IF(Assumptions!J$207=9,IF(Assumptions!J$206=2026,Assumptions!$C$38,0.5*Assumptions!$C$37),IF(Assumptions!J$207=12,IF(Assumptions!J$206=2026,Assumptions!$C$36-0.5*Assumptions!$C$231,Assumptions!$C$39-0.5*Assumptions!$C$36),0)))))</f>
        <v>8050</v>
      </c>
      <c r="K24" s="65" t="n">
        <f aca="false">IF(K$5="A",Inputs_Actuals!K172,IF(Assumptions!K$207=5,IF(Assumptions!K$206=2026,0,Assumptions!$C$37-2*Assumptions!$C$38),IF(Assumptions!K$207=6,IF(Assumptions!K$206=2026,0.5*Assumptions!$C$231+Assumptions!$C$38,0.5*Assumptions!$C$36+0.5*Assumptions!$C$37),IF(Assumptions!K$207=9,IF(Assumptions!K$206=2026,Assumptions!$C$38,0.5*Assumptions!$C$37),IF(Assumptions!K$207=12,IF(Assumptions!K$206=2026,Assumptions!$C$36-0.5*Assumptions!$C$231,Assumptions!$C$39-0.5*Assumptions!$C$36),0)))))</f>
        <v>0</v>
      </c>
      <c r="L24" s="65" t="n">
        <f aca="false">IF(L$5="A",Inputs_Actuals!L172,IF(Assumptions!L$207=5,IF(Assumptions!L$206=2026,0,Assumptions!$C$37-2*Assumptions!$C$38),IF(Assumptions!L$207=6,IF(Assumptions!L$206=2026,0.5*Assumptions!$C$231+Assumptions!$C$38,0.5*Assumptions!$C$36+0.5*Assumptions!$C$37),IF(Assumptions!L$207=9,IF(Assumptions!L$206=2026,Assumptions!$C$38,0.5*Assumptions!$C$37),IF(Assumptions!L$207=12,IF(Assumptions!L$206=2026,Assumptions!$C$36-0.5*Assumptions!$C$231,Assumptions!$C$39-0.5*Assumptions!$C$36),0)))))</f>
        <v>0</v>
      </c>
      <c r="M24" s="65" t="n">
        <f aca="false">IF(M$5="A",Inputs_Actuals!M172,IF(Assumptions!M$207=5,IF(Assumptions!M$206=2026,0,Assumptions!$C$37-2*Assumptions!$C$38),IF(Assumptions!M$207=6,IF(Assumptions!M$206=2026,0.5*Assumptions!$C$231+Assumptions!$C$38,0.5*Assumptions!$C$36+0.5*Assumptions!$C$37),IF(Assumptions!M$207=9,IF(Assumptions!M$206=2026,Assumptions!$C$38,0.5*Assumptions!$C$37),IF(Assumptions!M$207=12,IF(Assumptions!M$206=2026,Assumptions!$C$36-0.5*Assumptions!$C$231,Assumptions!$C$39-0.5*Assumptions!$C$36),0)))))</f>
        <v>1850</v>
      </c>
      <c r="N24" s="65" t="n">
        <f aca="false">IF(N$5="A",Inputs_Actuals!N172,IF(Assumptions!N$207=5,IF(Assumptions!N$206=2026,0,Assumptions!$C$37-2*Assumptions!$C$38),IF(Assumptions!N$207=6,IF(Assumptions!N$206=2026,0.5*Assumptions!$C$231+Assumptions!$C$38,0.5*Assumptions!$C$36+0.5*Assumptions!$C$37),IF(Assumptions!N$207=9,IF(Assumptions!N$206=2026,Assumptions!$C$38,0.5*Assumptions!$C$37),IF(Assumptions!N$207=12,IF(Assumptions!N$206=2026,Assumptions!$C$36-0.5*Assumptions!$C$231,Assumptions!$C$39-0.5*Assumptions!$C$36),0)))))</f>
        <v>0</v>
      </c>
      <c r="O24" s="65" t="n">
        <f aca="false">IF(O$5="A",Inputs_Actuals!O172,IF(Assumptions!O$207=5,IF(Assumptions!O$206=2026,0,Assumptions!$C$37-2*Assumptions!$C$38),IF(Assumptions!O$207=6,IF(Assumptions!O$206=2026,0.5*Assumptions!$C$231+Assumptions!$C$38,0.5*Assumptions!$C$36+0.5*Assumptions!$C$37),IF(Assumptions!O$207=9,IF(Assumptions!O$206=2026,Assumptions!$C$38,0.5*Assumptions!$C$37),IF(Assumptions!O$207=12,IF(Assumptions!O$206=2026,Assumptions!$C$36-0.5*Assumptions!$C$231,Assumptions!$C$39-0.5*Assumptions!$C$36),0)))))</f>
        <v>0</v>
      </c>
      <c r="P24" s="65" t="n">
        <f aca="false">IF(P$5="A",Inputs_Actuals!P172,IF(Assumptions!P$207=5,IF(Assumptions!P$206=2026,0,Assumptions!$C$37-2*Assumptions!$C$38),IF(Assumptions!P$207=6,IF(Assumptions!P$206=2026,0.5*Assumptions!$C$231+Assumptions!$C$38,0.5*Assumptions!$C$36+0.5*Assumptions!$C$37),IF(Assumptions!P$207=9,IF(Assumptions!P$206=2026,Assumptions!$C$38,0.5*Assumptions!$C$37),IF(Assumptions!P$207=12,IF(Assumptions!P$206=2026,Assumptions!$C$36-0.5*Assumptions!$C$231,Assumptions!$C$39-0.5*Assumptions!$C$36),0)))))</f>
        <v>6700</v>
      </c>
      <c r="Q24" s="65" t="n">
        <f aca="false">IF(Q$5="A",Inputs_Actuals!Q172,IF(Assumptions!Q$207=5,IF(Assumptions!Q$206=2026,0,Assumptions!$C$37-2*Assumptions!$C$38),IF(Assumptions!Q$207=6,IF(Assumptions!Q$206=2026,0.5*Assumptions!$C$231+Assumptions!$C$38,0.5*Assumptions!$C$36+0.5*Assumptions!$C$37),IF(Assumptions!Q$207=9,IF(Assumptions!Q$206=2026,Assumptions!$C$38,0.5*Assumptions!$C$37),IF(Assumptions!Q$207=12,IF(Assumptions!Q$206=2026,Assumptions!$C$36-0.5*Assumptions!$C$231,Assumptions!$C$39-0.5*Assumptions!$C$36),0)))))</f>
        <v>0</v>
      </c>
      <c r="R24" s="65" t="n">
        <f aca="false">IF(R$5="A",Inputs_Actuals!R172,IF(Assumptions!R$207=5,IF(Assumptions!R$206=2026,0,Assumptions!$C$37-2*Assumptions!$C$38),IF(Assumptions!R$207=6,IF(Assumptions!R$206=2026,0.5*Assumptions!$C$231+Assumptions!$C$38,0.5*Assumptions!$C$36+0.5*Assumptions!$C$37),IF(Assumptions!R$207=9,IF(Assumptions!R$206=2026,Assumptions!$C$38,0.5*Assumptions!$C$37),IF(Assumptions!R$207=12,IF(Assumptions!R$206=2026,Assumptions!$C$36-0.5*Assumptions!$C$231,Assumptions!$C$39-0.5*Assumptions!$C$36),0)))))</f>
        <v>0</v>
      </c>
      <c r="S24" s="65" t="n">
        <f aca="false">IF(S$5="A",Inputs_Actuals!S172,IF(Assumptions!S$207=5,IF(Assumptions!S$206=2026,0,Assumptions!$C$37-2*Assumptions!$C$38),IF(Assumptions!S$207=6,IF(Assumptions!S$206=2026,0.5*Assumptions!$C$231+Assumptions!$C$38,0.5*Assumptions!$C$36+0.5*Assumptions!$C$37),IF(Assumptions!S$207=9,IF(Assumptions!S$206=2026,Assumptions!$C$38,0.5*Assumptions!$C$37),IF(Assumptions!S$207=12,IF(Assumptions!S$206=2026,Assumptions!$C$36-0.5*Assumptions!$C$231,Assumptions!$C$39-0.5*Assumptions!$C$36),0)))))</f>
        <v>0</v>
      </c>
      <c r="T24" s="65" t="n">
        <f aca="false">IF(T$5="A",Inputs_Actuals!T172,IF(Assumptions!T$207=5,IF(Assumptions!T$206=2026,0,Assumptions!$C$37-2*Assumptions!$C$38),IF(Assumptions!T$207=6,IF(Assumptions!T$206=2026,0.5*Assumptions!$C$231+Assumptions!$C$38,0.5*Assumptions!$C$36+0.5*Assumptions!$C$37),IF(Assumptions!T$207=9,IF(Assumptions!T$206=2026,Assumptions!$C$38,0.5*Assumptions!$C$37),IF(Assumptions!T$207=12,IF(Assumptions!T$206=2026,Assumptions!$C$36-0.5*Assumptions!$C$231,Assumptions!$C$39-0.5*Assumptions!$C$36),0)))))</f>
        <v>0</v>
      </c>
      <c r="U24" s="65" t="n">
        <f aca="false">IF(U$5="A",Inputs_Actuals!U172,IF(Assumptions!U$207=5,IF(Assumptions!U$206=2026,0,Assumptions!$C$37-2*Assumptions!$C$38),IF(Assumptions!U$207=6,IF(Assumptions!U$206=2026,0.5*Assumptions!$C$231+Assumptions!$C$38,0.5*Assumptions!$C$36+0.5*Assumptions!$C$37),IF(Assumptions!U$207=9,IF(Assumptions!U$206=2026,Assumptions!$C$38,0.5*Assumptions!$C$37),IF(Assumptions!U$207=12,IF(Assumptions!U$206=2026,Assumptions!$C$36-0.5*Assumptions!$C$231,Assumptions!$C$39-0.5*Assumptions!$C$36),0)))))</f>
        <v>200</v>
      </c>
      <c r="V24" s="65" t="n">
        <f aca="false">IF(V$5="A",Inputs_Actuals!V172,IF(Assumptions!V$207=5,IF(Assumptions!V$206=2026,0,Assumptions!$C$37-2*Assumptions!$C$38),IF(Assumptions!V$207=6,IF(Assumptions!V$206=2026,0.5*Assumptions!$C$231+Assumptions!$C$38,0.5*Assumptions!$C$36+0.5*Assumptions!$C$37),IF(Assumptions!V$207=9,IF(Assumptions!V$206=2026,Assumptions!$C$38,0.5*Assumptions!$C$37),IF(Assumptions!V$207=12,IF(Assumptions!V$206=2026,Assumptions!$C$36-0.5*Assumptions!$C$231,Assumptions!$C$39-0.5*Assumptions!$C$36),0)))))</f>
        <v>8400</v>
      </c>
      <c r="W24" s="65" t="n">
        <f aca="false">IF(W$5="A",Inputs_Actuals!W172,IF(Assumptions!W$207=5,IF(Assumptions!W$206=2026,0,Assumptions!$C$37-2*Assumptions!$C$38),IF(Assumptions!W$207=6,IF(Assumptions!W$206=2026,0.5*Assumptions!$C$231+Assumptions!$C$38,0.5*Assumptions!$C$36+0.5*Assumptions!$C$37),IF(Assumptions!W$207=9,IF(Assumptions!W$206=2026,Assumptions!$C$38,0.5*Assumptions!$C$37),IF(Assumptions!W$207=12,IF(Assumptions!W$206=2026,Assumptions!$C$36-0.5*Assumptions!$C$231,Assumptions!$C$39-0.5*Assumptions!$C$36),0)))))</f>
        <v>0</v>
      </c>
      <c r="X24" s="65" t="n">
        <f aca="false">IF(X$5="A",Inputs_Actuals!X172,IF(Assumptions!X$207=5,IF(Assumptions!X$206=2026,0,Assumptions!$C$37-2*Assumptions!$C$38),IF(Assumptions!X$207=6,IF(Assumptions!X$206=2026,0.5*Assumptions!$C$231+Assumptions!$C$38,0.5*Assumptions!$C$36+0.5*Assumptions!$C$37),IF(Assumptions!X$207=9,IF(Assumptions!X$206=2026,Assumptions!$C$38,0.5*Assumptions!$C$37),IF(Assumptions!X$207=12,IF(Assumptions!X$206=2026,Assumptions!$C$36-0.5*Assumptions!$C$231,Assumptions!$C$39-0.5*Assumptions!$C$36),0)))))</f>
        <v>0</v>
      </c>
      <c r="Y24" s="65" t="n">
        <f aca="false">IF(Y$5="A",Inputs_Actuals!Y172,IF(Assumptions!Y$207=5,IF(Assumptions!Y$206=2026,0,Assumptions!$C$37-2*Assumptions!$C$38),IF(Assumptions!Y$207=6,IF(Assumptions!Y$206=2026,0.5*Assumptions!$C$231+Assumptions!$C$38,0.5*Assumptions!$C$36+0.5*Assumptions!$C$37),IF(Assumptions!Y$207=9,IF(Assumptions!Y$206=2026,Assumptions!$C$38,0.5*Assumptions!$C$37),IF(Assumptions!Y$207=12,IF(Assumptions!Y$206=2026,Assumptions!$C$36-0.5*Assumptions!$C$231,Assumptions!$C$39-0.5*Assumptions!$C$36),0)))))</f>
        <v>1950</v>
      </c>
      <c r="Z24" s="65" t="n">
        <f aca="false">IF(Z$5="A",Inputs_Actuals!Z172,IF(Assumptions!Z$207=5,IF(Assumptions!Z$206=2026,0,Assumptions!$C$37-2*Assumptions!$C$38),IF(Assumptions!Z$207=6,IF(Assumptions!Z$206=2026,0.5*Assumptions!$C$231+Assumptions!$C$38,0.5*Assumptions!$C$36+0.5*Assumptions!$C$37),IF(Assumptions!Z$207=9,IF(Assumptions!Z$206=2026,Assumptions!$C$38,0.5*Assumptions!$C$37),IF(Assumptions!Z$207=12,IF(Assumptions!Z$206=2026,Assumptions!$C$36-0.5*Assumptions!$C$231,Assumptions!$C$39-0.5*Assumptions!$C$36),0)))))</f>
        <v>0</v>
      </c>
      <c r="AA24" s="65" t="n">
        <f aca="false">IF(AA$5="A",Inputs_Actuals!AA172,IF(Assumptions!AA$207=5,IF(Assumptions!AA$206=2026,0,Assumptions!$C$37-2*Assumptions!$C$38),IF(Assumptions!AA$207=6,IF(Assumptions!AA$206=2026,0.5*Assumptions!$C$231+Assumptions!$C$38,0.5*Assumptions!$C$36+0.5*Assumptions!$C$37),IF(Assumptions!AA$207=9,IF(Assumptions!AA$206=2026,Assumptions!$C$38,0.5*Assumptions!$C$37),IF(Assumptions!AA$207=12,IF(Assumptions!AA$206=2026,Assumptions!$C$36-0.5*Assumptions!$C$231,Assumptions!$C$39-0.5*Assumptions!$C$36),0)))))</f>
        <v>0</v>
      </c>
      <c r="AB24" s="65" t="n">
        <f aca="false">IF(AB$5="A",Inputs_Actuals!AB172,IF(Assumptions!AB$207=5,IF(Assumptions!AB$206=2026,0,Assumptions!$C$37-2*Assumptions!$C$38),IF(Assumptions!AB$207=6,IF(Assumptions!AB$206=2026,0.5*Assumptions!$C$231+Assumptions!$C$38,0.5*Assumptions!$C$36+0.5*Assumptions!$C$37),IF(Assumptions!AB$207=9,IF(Assumptions!AB$206=2026,Assumptions!$C$38,0.5*Assumptions!$C$37),IF(Assumptions!AB$207=12,IF(Assumptions!AB$206=2026,Assumptions!$C$36-0.5*Assumptions!$C$231,Assumptions!$C$39-0.5*Assumptions!$C$36),0)))))</f>
        <v>6850</v>
      </c>
    </row>
    <row r="25" customFormat="false" ht="15" hidden="false" customHeight="false" outlineLevel="0" collapsed="false">
      <c r="A25" s="58" t="s">
        <v>1549</v>
      </c>
      <c r="B25" s="59"/>
      <c r="C25" s="60" t="n">
        <f aca="false">P25</f>
        <v>200</v>
      </c>
      <c r="D25" s="60" t="n">
        <f aca="false">AB25</f>
        <v>400.000000000001</v>
      </c>
      <c r="E25" s="61" t="n">
        <f aca="false">Inputs_Actuals!$C$200+E17-E24</f>
        <v>1900</v>
      </c>
      <c r="F25" s="60" t="n">
        <f aca="false">E25+F17-F24</f>
        <v>3300</v>
      </c>
      <c r="G25" s="60" t="n">
        <f aca="false">F25+G17-G24</f>
        <v>4700</v>
      </c>
      <c r="H25" s="60" t="n">
        <f aca="false">G25+H17-H24</f>
        <v>6100</v>
      </c>
      <c r="I25" s="60" t="n">
        <f aca="false">H25+I17-I24</f>
        <v>7000</v>
      </c>
      <c r="J25" s="60" t="n">
        <f aca="false">I25+J17-J24</f>
        <v>350</v>
      </c>
      <c r="K25" s="60" t="n">
        <f aca="false">J25+K17-K24</f>
        <v>1750</v>
      </c>
      <c r="L25" s="60" t="n">
        <f aca="false">K25+L17-L24</f>
        <v>3150</v>
      </c>
      <c r="M25" s="60" t="n">
        <f aca="false">L25+M17-M24</f>
        <v>2700</v>
      </c>
      <c r="N25" s="60" t="n">
        <f aca="false">M25+N17-N24</f>
        <v>4100</v>
      </c>
      <c r="O25" s="60" t="n">
        <f aca="false">N25+O17-O24</f>
        <v>5500</v>
      </c>
      <c r="P25" s="60" t="n">
        <f aca="false">O25+P17-P24</f>
        <v>200</v>
      </c>
      <c r="Q25" s="60" t="n">
        <f aca="false">P25+Q17-Q24</f>
        <v>1666.66666666667</v>
      </c>
      <c r="R25" s="60" t="n">
        <f aca="false">Q25+R17-R24</f>
        <v>3133.33333333333</v>
      </c>
      <c r="S25" s="60" t="n">
        <f aca="false">R25+S17-S24</f>
        <v>4600</v>
      </c>
      <c r="T25" s="60" t="n">
        <f aca="false">S25+T17-T24</f>
        <v>6066.66666666667</v>
      </c>
      <c r="U25" s="60" t="n">
        <f aca="false">T25+U17-U24</f>
        <v>7333.33333333333</v>
      </c>
      <c r="V25" s="60" t="n">
        <f aca="false">U25+V17-V24</f>
        <v>400</v>
      </c>
      <c r="W25" s="60" t="n">
        <f aca="false">V25+W17-W24</f>
        <v>1866.66666666667</v>
      </c>
      <c r="X25" s="60" t="n">
        <f aca="false">W25+X17-X24</f>
        <v>3333.33333333333</v>
      </c>
      <c r="Y25" s="60" t="n">
        <f aca="false">X25+Y17-Y24</f>
        <v>2850</v>
      </c>
      <c r="Z25" s="60" t="n">
        <f aca="false">Y25+Z17-Z24</f>
        <v>4316.66666666667</v>
      </c>
      <c r="AA25" s="60" t="n">
        <f aca="false">Z25+AA17-AA24</f>
        <v>5783.33333333333</v>
      </c>
      <c r="AB25" s="60" t="n">
        <f aca="false">AA25+AB17-AB24</f>
        <v>400.000000000001</v>
      </c>
    </row>
    <row r="26" customFormat="false" ht="15" hidden="false" customHeight="false" outlineLevel="0" collapsed="false">
      <c r="A26" s="28" t="s">
        <v>1550</v>
      </c>
      <c r="B26" s="62"/>
      <c r="C26" s="64" t="n">
        <f aca="false">SUM(E26:P26)</f>
        <v>0</v>
      </c>
      <c r="D26" s="64" t="n">
        <f aca="false">SUM(Q26:AB26)</f>
        <v>0</v>
      </c>
      <c r="E26" s="73" t="n">
        <f aca="false">0</f>
        <v>0</v>
      </c>
      <c r="F26" s="73" t="n">
        <f aca="false">0</f>
        <v>0</v>
      </c>
      <c r="G26" s="73" t="n">
        <f aca="false">0</f>
        <v>0</v>
      </c>
      <c r="H26" s="73" t="n">
        <f aca="false">0</f>
        <v>0</v>
      </c>
      <c r="I26" s="73" t="n">
        <f aca="false">0</f>
        <v>0</v>
      </c>
      <c r="J26" s="73" t="n">
        <f aca="false">0</f>
        <v>0</v>
      </c>
      <c r="K26" s="73" t="n">
        <f aca="false">0</f>
        <v>0</v>
      </c>
      <c r="L26" s="73" t="n">
        <f aca="false">0</f>
        <v>0</v>
      </c>
      <c r="M26" s="73" t="n">
        <f aca="false">0</f>
        <v>0</v>
      </c>
      <c r="N26" s="73" t="n">
        <f aca="false">0</f>
        <v>0</v>
      </c>
      <c r="O26" s="73" t="n">
        <f aca="false">0</f>
        <v>0</v>
      </c>
      <c r="P26" s="65" t="n">
        <f aca="false">ROUND(P25-IF(Assumptions!P$206=2026,Assumptions!$C$37-2*Assumptions!$C$38,Assumptions!$C$40-Assumptions!$C$37),0)</f>
        <v>0</v>
      </c>
      <c r="Q26" s="73" t="n">
        <f aca="false">0</f>
        <v>0</v>
      </c>
      <c r="R26" s="73" t="n">
        <f aca="false">0</f>
        <v>0</v>
      </c>
      <c r="S26" s="73" t="n">
        <f aca="false">0</f>
        <v>0</v>
      </c>
      <c r="T26" s="73" t="n">
        <f aca="false">0</f>
        <v>0</v>
      </c>
      <c r="U26" s="73" t="n">
        <f aca="false">0</f>
        <v>0</v>
      </c>
      <c r="V26" s="73" t="n">
        <f aca="false">0</f>
        <v>0</v>
      </c>
      <c r="W26" s="73" t="n">
        <f aca="false">0</f>
        <v>0</v>
      </c>
      <c r="X26" s="73" t="n">
        <f aca="false">0</f>
        <v>0</v>
      </c>
      <c r="Y26" s="73" t="n">
        <f aca="false">0</f>
        <v>0</v>
      </c>
      <c r="Z26" s="73" t="n">
        <f aca="false">0</f>
        <v>0</v>
      </c>
      <c r="AA26" s="73" t="n">
        <f aca="false">0</f>
        <v>0</v>
      </c>
      <c r="AB26" s="65" t="n">
        <f aca="false">ROUND(AB25-IF(Assumptions!AB$206=2026,Assumptions!$C$37-2*Assumptions!$C$38,Assumptions!$C$40-Assumptions!$C$37),0)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1551</v>
      </c>
    </row>
    <row r="3" customFormat="false" ht="15" hidden="false" customHeight="false" outlineLevel="0" collapsed="false">
      <c r="A3" s="49" t="s">
        <v>1552</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1553</v>
      </c>
      <c r="B8" s="62" t="s">
        <v>1554</v>
      </c>
      <c r="C8" s="64" t="n">
        <f aca="false">SUM(E8:P8)</f>
        <v>64711.8966666667</v>
      </c>
      <c r="D8" s="64" t="n">
        <f aca="false">SUM(Q8:AB8)</f>
        <v>84583.1155342921</v>
      </c>
      <c r="E8" s="65" t="n">
        <f aca="false">IF(E$5="A",Inputs_Actuals!E153,People!E37*Assumptions!$C$106+Assumptions!$C$107)</f>
        <v>5057.75</v>
      </c>
      <c r="F8" s="65" t="n">
        <f aca="false">IF(F$5="A",Inputs_Actuals!F153,People!F37*Assumptions!$C$106+Assumptions!$C$107)</f>
        <v>7270.69</v>
      </c>
      <c r="G8" s="65" t="n">
        <f aca="false">IF(G$5="A",Inputs_Actuals!G153,People!G37*Assumptions!$C$106+Assumptions!$C$107)</f>
        <v>9512.1</v>
      </c>
      <c r="H8" s="65" t="n">
        <f aca="false">IF(H$5="A",Inputs_Actuals!H153,People!H37*Assumptions!$C$106+Assumptions!$C$107)</f>
        <v>7262.12</v>
      </c>
      <c r="I8" s="65" t="n">
        <f aca="false">IF(I$5="A",Inputs_Actuals!I153,People!I37*Assumptions!$C$106+Assumptions!$C$107)</f>
        <v>4693.56</v>
      </c>
      <c r="J8" s="65" t="n">
        <f aca="false">IF(J$5="A",Inputs_Actuals!J153,People!J37*Assumptions!$C$106+Assumptions!$C$107)</f>
        <v>5463.47</v>
      </c>
      <c r="K8" s="65" t="n">
        <f aca="false">IF(K$5="A",Inputs_Actuals!K153,People!K37*Assumptions!$C$106+Assumptions!$C$107)</f>
        <v>2233.55</v>
      </c>
      <c r="L8" s="65" t="n">
        <f aca="false">IF(L$5="A",Inputs_Actuals!L153,People!L37*Assumptions!$C$106+Assumptions!$C$107)</f>
        <v>2185.01</v>
      </c>
      <c r="M8" s="65" t="n">
        <f aca="false">IF(M$5="A",Inputs_Actuals!M153,People!M37*Assumptions!$C$106+Assumptions!$C$107)</f>
        <v>2500</v>
      </c>
      <c r="N8" s="65" t="n">
        <f aca="false">IF(N$5="A",Inputs_Actuals!N153,People!N37*Assumptions!$C$106+Assumptions!$C$107)</f>
        <v>7300</v>
      </c>
      <c r="O8" s="65" t="n">
        <f aca="false">IF(O$5="A",Inputs_Actuals!O153,People!O37*Assumptions!$C$106+Assumptions!$C$107)</f>
        <v>6828</v>
      </c>
      <c r="P8" s="65" t="n">
        <f aca="false">IF(P$5="A",Inputs_Actuals!P153,People!P37*Assumptions!$C$106+Assumptions!$C$107)</f>
        <v>4405.64666666667</v>
      </c>
      <c r="Q8" s="65" t="n">
        <f aca="false">IF(Q$5="A",Inputs_Actuals!Q153,People!Q37*Assumptions!$C$106+Assumptions!$C$107)</f>
        <v>16433.5802722222</v>
      </c>
      <c r="R8" s="65" t="n">
        <f aca="false">IF(R$5="A",Inputs_Actuals!R153,People!R37*Assumptions!$C$106+Assumptions!$C$107)</f>
        <v>6873.60847839352</v>
      </c>
      <c r="S8" s="65" t="n">
        <f aca="false">IF(S$5="A",Inputs_Actuals!S153,People!S37*Assumptions!$C$106+Assumptions!$C$107)</f>
        <v>6872.68120490764</v>
      </c>
      <c r="T8" s="65" t="n">
        <f aca="false">IF(T$5="A",Inputs_Actuals!T153,People!T37*Assumptions!$C$106+Assumptions!$C$107)</f>
        <v>9402.02595378218</v>
      </c>
      <c r="U8" s="65" t="n">
        <f aca="false">IF(U$5="A",Inputs_Actuals!U153,People!U37*Assumptions!$C$106+Assumptions!$C$107)</f>
        <v>4640.50853769174</v>
      </c>
      <c r="V8" s="65" t="n">
        <f aca="false">IF(V$5="A",Inputs_Actuals!V153,People!V37*Assumptions!$C$106+Assumptions!$C$107)</f>
        <v>7058.33074955452</v>
      </c>
      <c r="W8" s="65" t="n">
        <f aca="false">IF(W$5="A",Inputs_Actuals!W153,People!W37*Assumptions!$C$106+Assumptions!$C$107)</f>
        <v>7127.54762131738</v>
      </c>
      <c r="X8" s="65" t="n">
        <f aca="false">IF(X$5="A",Inputs_Actuals!X153,People!X37*Assumptions!$C$106+Assumptions!$C$107)</f>
        <v>4726.38167978717</v>
      </c>
      <c r="Y8" s="65" t="n">
        <f aca="false">IF(Y$5="A",Inputs_Actuals!Y153,People!Y37*Assumptions!$C$106+Assumptions!$C$107)</f>
        <v>7145.36832930398</v>
      </c>
      <c r="Z8" s="65" t="n">
        <f aca="false">IF(Z$5="A",Inputs_Actuals!Z153,People!Z37*Assumptions!$C$106+Assumptions!$C$107)</f>
        <v>4761.23357553291</v>
      </c>
      <c r="AA8" s="65" t="n">
        <f aca="false">IF(AA$5="A",Inputs_Actuals!AA153,People!AA37*Assumptions!$C$106+Assumptions!$C$107)</f>
        <v>4760.97651649135</v>
      </c>
      <c r="AB8" s="65" t="n">
        <f aca="false">IF(AB$5="A",Inputs_Actuals!AB153,People!AB37*Assumptions!$C$106+Assumptions!$C$107)</f>
        <v>4780.87261530755</v>
      </c>
    </row>
    <row r="9" customFormat="false" ht="15" hidden="false" customHeight="false" outlineLevel="0" collapsed="false">
      <c r="A9" s="28" t="s">
        <v>1555</v>
      </c>
      <c r="B9" s="62" t="s">
        <v>1556</v>
      </c>
      <c r="C9" s="64" t="n">
        <f aca="false">SUM(E9:P9)</f>
        <v>72000</v>
      </c>
      <c r="D9" s="64" t="n">
        <f aca="false">SUM(Q9:AB9)</f>
        <v>72000</v>
      </c>
      <c r="E9" s="65" t="n">
        <f aca="false">MIN(4500,MAX(0,Inputs_Actuals!$C$182-Inputs_Actuals!$C$183-4500*0))+1500</f>
        <v>6000</v>
      </c>
      <c r="F9" s="65" t="n">
        <f aca="false">MIN(4500,MAX(0,Inputs_Actuals!$C$182-Inputs_Actuals!$C$183-4500*1))+1500</f>
        <v>6000</v>
      </c>
      <c r="G9" s="65" t="n">
        <f aca="false">MIN(4500,MAX(0,Inputs_Actuals!$C$182-Inputs_Actuals!$C$183-4500*2))+1500</f>
        <v>6000</v>
      </c>
      <c r="H9" s="65" t="n">
        <f aca="false">MIN(4500,MAX(0,Inputs_Actuals!$C$182-Inputs_Actuals!$C$183-4500*3))+1500</f>
        <v>6000</v>
      </c>
      <c r="I9" s="65" t="n">
        <f aca="false">MIN(4500,MAX(0,Inputs_Actuals!$C$182-Inputs_Actuals!$C$183-4500*4))+1500</f>
        <v>6000</v>
      </c>
      <c r="J9" s="65" t="n">
        <f aca="false">MIN(4500,MAX(0,Inputs_Actuals!$C$182-Inputs_Actuals!$C$183-4500*5))+1500</f>
        <v>6000</v>
      </c>
      <c r="K9" s="65" t="n">
        <f aca="false">MIN(4500,MAX(0,Inputs_Actuals!$C$182-Inputs_Actuals!$C$183-4500*6))+1500</f>
        <v>6000</v>
      </c>
      <c r="L9" s="65" t="n">
        <f aca="false">MIN(4500,MAX(0,Inputs_Actuals!$C$182-Inputs_Actuals!$C$183-4500*7))+1500</f>
        <v>6000</v>
      </c>
      <c r="M9" s="65" t="n">
        <f aca="false">MIN(4500,MAX(0,Inputs_Actuals!$C$182-Inputs_Actuals!$C$183-4500*8))+1500</f>
        <v>6000</v>
      </c>
      <c r="N9" s="65" t="n">
        <f aca="false">MIN(4500,MAX(0,Inputs_Actuals!$C$182-Inputs_Actuals!$C$183-4500*9))+1500</f>
        <v>6000</v>
      </c>
      <c r="O9" s="65" t="n">
        <f aca="false">MIN(4500,MAX(0,Inputs_Actuals!$C$182-Inputs_Actuals!$C$183-4500*10))+1500</f>
        <v>6000</v>
      </c>
      <c r="P9" s="65" t="n">
        <f aca="false">MIN(4500,MAX(0,Inputs_Actuals!$C$182-Inputs_Actuals!$C$183-4500*11))+1500</f>
        <v>6000</v>
      </c>
      <c r="Q9" s="65" t="n">
        <f aca="false">MIN(4500,MAX(0,Inputs_Actuals!$C$182-Inputs_Actuals!$C$183-4500*12))+1500</f>
        <v>6000</v>
      </c>
      <c r="R9" s="65" t="n">
        <f aca="false">MIN(4500,MAX(0,Inputs_Actuals!$C$182-Inputs_Actuals!$C$183-4500*13))+1500</f>
        <v>6000</v>
      </c>
      <c r="S9" s="65" t="n">
        <f aca="false">MIN(4500,MAX(0,Inputs_Actuals!$C$182-Inputs_Actuals!$C$183-4500*14))+1500</f>
        <v>6000</v>
      </c>
      <c r="T9" s="65" t="n">
        <f aca="false">MIN(4500,MAX(0,Inputs_Actuals!$C$182-Inputs_Actuals!$C$183-4500*15))+1500</f>
        <v>6000</v>
      </c>
      <c r="U9" s="65" t="n">
        <f aca="false">MIN(4500,MAX(0,Inputs_Actuals!$C$182-Inputs_Actuals!$C$183-4500*16))+1500</f>
        <v>6000</v>
      </c>
      <c r="V9" s="65" t="n">
        <f aca="false">MIN(4500,MAX(0,Inputs_Actuals!$C$182-Inputs_Actuals!$C$183-4500*17))+1500</f>
        <v>6000</v>
      </c>
      <c r="W9" s="65" t="n">
        <f aca="false">MIN(4500,MAX(0,Inputs_Actuals!$C$182-Inputs_Actuals!$C$183-4500*18))+1500</f>
        <v>6000</v>
      </c>
      <c r="X9" s="65" t="n">
        <f aca="false">MIN(4500,MAX(0,Inputs_Actuals!$C$182-Inputs_Actuals!$C$183-4500*19))+1500</f>
        <v>6000</v>
      </c>
      <c r="Y9" s="65" t="n">
        <f aca="false">MIN(4500,MAX(0,Inputs_Actuals!$C$182-Inputs_Actuals!$C$183-4500*20))+1500</f>
        <v>6000</v>
      </c>
      <c r="Z9" s="65" t="n">
        <f aca="false">MIN(4500,MAX(0,Inputs_Actuals!$C$182-Inputs_Actuals!$C$183-4500*21))+1500</f>
        <v>6000</v>
      </c>
      <c r="AA9" s="65" t="n">
        <f aca="false">MIN(4500,MAX(0,Inputs_Actuals!$C$182-Inputs_Actuals!$C$183-4500*22))+1500</f>
        <v>6000</v>
      </c>
      <c r="AB9" s="65" t="n">
        <f aca="false">MIN(4500,MAX(0,Inputs_Actuals!$C$182-Inputs_Actuals!$C$183-4500*23))+1500</f>
        <v>6000</v>
      </c>
    </row>
    <row r="10" customFormat="false" ht="15" hidden="false" customHeight="false" outlineLevel="0" collapsed="false">
      <c r="A10" s="28" t="s">
        <v>1557</v>
      </c>
      <c r="B10" s="62"/>
      <c r="C10" s="64" t="n">
        <f aca="false">SUM(E10:P10)</f>
        <v>10736.6538888889</v>
      </c>
      <c r="D10" s="64" t="n">
        <f aca="false">SUM(Q10:AB10)</f>
        <v>36894.8589998661</v>
      </c>
      <c r="E10" s="73" t="n">
        <f aca="false">0</f>
        <v>0</v>
      </c>
      <c r="F10" s="73" t="n">
        <f aca="false">SUM(E8:E8)/36</f>
        <v>140.493055555556</v>
      </c>
      <c r="G10" s="73" t="n">
        <f aca="false">SUM(E8:F8)/36</f>
        <v>342.456666666667</v>
      </c>
      <c r="H10" s="73" t="n">
        <f aca="false">SUM(E8:G8)/36</f>
        <v>606.681666666667</v>
      </c>
      <c r="I10" s="73" t="n">
        <f aca="false">SUM(E8:H8)/36</f>
        <v>808.407222222222</v>
      </c>
      <c r="J10" s="73" t="n">
        <f aca="false">SUM(E8:I8)/36</f>
        <v>938.783888888889</v>
      </c>
      <c r="K10" s="73" t="n">
        <f aca="false">SUM(E8:J8)/36</f>
        <v>1090.54694444444</v>
      </c>
      <c r="L10" s="73" t="n">
        <f aca="false">SUM(E8:K8)/36</f>
        <v>1152.59</v>
      </c>
      <c r="M10" s="73" t="n">
        <f aca="false">SUM(E8:L8)/36</f>
        <v>1213.28472222222</v>
      </c>
      <c r="N10" s="73" t="n">
        <f aca="false">SUM(E8:M8)/36</f>
        <v>1282.72916666667</v>
      </c>
      <c r="O10" s="73" t="n">
        <f aca="false">SUM(E8:N8)/36</f>
        <v>1485.50694444444</v>
      </c>
      <c r="P10" s="73" t="n">
        <f aca="false">SUM(E8:O8)/36</f>
        <v>1675.17361111111</v>
      </c>
      <c r="Q10" s="73" t="n">
        <f aca="false">SUM(E8:P8)/36</f>
        <v>1797.55268518519</v>
      </c>
      <c r="R10" s="73" t="n">
        <f aca="false">SUM(E8:Q8)/36</f>
        <v>2254.04102608025</v>
      </c>
      <c r="S10" s="73" t="n">
        <f aca="false">SUM(E8:R8)/36</f>
        <v>2444.97459492451</v>
      </c>
      <c r="T10" s="73" t="n">
        <f aca="false">SUM(E8:S8)/36</f>
        <v>2635.88240617195</v>
      </c>
      <c r="U10" s="73" t="n">
        <f aca="false">SUM(E8:T8)/36</f>
        <v>2897.04979377701</v>
      </c>
      <c r="V10" s="73" t="n">
        <f aca="false">SUM(E8:U8)/36</f>
        <v>3025.95280871289</v>
      </c>
      <c r="W10" s="73" t="n">
        <f aca="false">SUM(E8:V8)/36</f>
        <v>3222.01755175607</v>
      </c>
      <c r="X10" s="73" t="n">
        <f aca="false">SUM(E8:W8)/36</f>
        <v>3420.00498568155</v>
      </c>
      <c r="Y10" s="73" t="n">
        <f aca="false">SUM(E8:X8)/36</f>
        <v>3551.29336567564</v>
      </c>
      <c r="Z10" s="73" t="n">
        <f aca="false">SUM(E8:Y8)/36</f>
        <v>3749.77581926742</v>
      </c>
      <c r="AA10" s="73" t="n">
        <f aca="false">SUM(E8:Z8)/36</f>
        <v>3882.03230747666</v>
      </c>
      <c r="AB10" s="73" t="n">
        <f aca="false">SUM(E8:AA8)/36</f>
        <v>4014.28165515698</v>
      </c>
    </row>
    <row r="11" customFormat="false" ht="15" hidden="false" customHeight="false" outlineLevel="0" collapsed="false">
      <c r="A11" s="58" t="s">
        <v>1558</v>
      </c>
      <c r="B11" s="59"/>
      <c r="C11" s="60" t="n">
        <f aca="false">SUM(E11:P11)</f>
        <v>82736.6538888889</v>
      </c>
      <c r="D11" s="60" t="n">
        <f aca="false">SUM(Q11:AB11)</f>
        <v>108894.858999866</v>
      </c>
      <c r="E11" s="60" t="n">
        <f aca="false">E9+E10</f>
        <v>6000</v>
      </c>
      <c r="F11" s="60" t="n">
        <f aca="false">F9+F10</f>
        <v>6140.49305555556</v>
      </c>
      <c r="G11" s="60" t="n">
        <f aca="false">G9+G10</f>
        <v>6342.45666666667</v>
      </c>
      <c r="H11" s="60" t="n">
        <f aca="false">H9+H10</f>
        <v>6606.68166666667</v>
      </c>
      <c r="I11" s="60" t="n">
        <f aca="false">I9+I10</f>
        <v>6808.40722222222</v>
      </c>
      <c r="J11" s="60" t="n">
        <f aca="false">J9+J10</f>
        <v>6938.78388888889</v>
      </c>
      <c r="K11" s="60" t="n">
        <f aca="false">K9+K10</f>
        <v>7090.54694444444</v>
      </c>
      <c r="L11" s="60" t="n">
        <f aca="false">L9+L10</f>
        <v>7152.59</v>
      </c>
      <c r="M11" s="60" t="n">
        <f aca="false">M9+M10</f>
        <v>7213.28472222222</v>
      </c>
      <c r="N11" s="60" t="n">
        <f aca="false">N9+N10</f>
        <v>7282.72916666667</v>
      </c>
      <c r="O11" s="60" t="n">
        <f aca="false">O9+O10</f>
        <v>7485.50694444444</v>
      </c>
      <c r="P11" s="60" t="n">
        <f aca="false">P9+P10</f>
        <v>7675.17361111111</v>
      </c>
      <c r="Q11" s="60" t="n">
        <f aca="false">Q9+Q10</f>
        <v>7797.55268518519</v>
      </c>
      <c r="R11" s="60" t="n">
        <f aca="false">R9+R10</f>
        <v>8254.04102608025</v>
      </c>
      <c r="S11" s="60" t="n">
        <f aca="false">S9+S10</f>
        <v>8444.97459492451</v>
      </c>
      <c r="T11" s="60" t="n">
        <f aca="false">T9+T10</f>
        <v>8635.88240617195</v>
      </c>
      <c r="U11" s="60" t="n">
        <f aca="false">U9+U10</f>
        <v>8897.04979377701</v>
      </c>
      <c r="V11" s="60" t="n">
        <f aca="false">V9+V10</f>
        <v>9025.95280871289</v>
      </c>
      <c r="W11" s="60" t="n">
        <f aca="false">W9+W10</f>
        <v>9222.01755175607</v>
      </c>
      <c r="X11" s="60" t="n">
        <f aca="false">X9+X10</f>
        <v>9420.00498568155</v>
      </c>
      <c r="Y11" s="60" t="n">
        <f aca="false">Y9+Y10</f>
        <v>9551.29336567564</v>
      </c>
      <c r="Z11" s="60" t="n">
        <f aca="false">Z9+Z10</f>
        <v>9749.77581926742</v>
      </c>
      <c r="AA11" s="60" t="n">
        <f aca="false">AA9+AA10</f>
        <v>9882.03230747666</v>
      </c>
      <c r="AB11" s="60" t="n">
        <f aca="false">AB9+AB10</f>
        <v>10014.281655157</v>
      </c>
    </row>
    <row r="12" customFormat="false" ht="15" hidden="false" customHeight="false" outlineLevel="0" collapsed="false">
      <c r="A12" s="58" t="s">
        <v>1559</v>
      </c>
      <c r="B12" s="59"/>
      <c r="C12" s="60" t="n">
        <f aca="false">P12</f>
        <v>221975.242777778</v>
      </c>
      <c r="D12" s="60" t="n">
        <f aca="false">AB12</f>
        <v>197663.499312204</v>
      </c>
      <c r="E12" s="61" t="n">
        <f aca="false">(Inputs_Actuals!$C$182-Inputs_Actuals!$C$183+Inputs_Actuals!$C$184-Inputs_Actuals!$C$185)+E8-E11</f>
        <v>239057.75</v>
      </c>
      <c r="F12" s="60" t="n">
        <f aca="false">E12+F8-F11</f>
        <v>240187.946944444</v>
      </c>
      <c r="G12" s="60" t="n">
        <f aca="false">F12+G8-G11</f>
        <v>243357.590277778</v>
      </c>
      <c r="H12" s="60" t="n">
        <f aca="false">G12+H8-H11</f>
        <v>244013.028611111</v>
      </c>
      <c r="I12" s="60" t="n">
        <f aca="false">H12+I8-I11</f>
        <v>241898.181388889</v>
      </c>
      <c r="J12" s="60" t="n">
        <f aca="false">I12+J8-J11</f>
        <v>240422.8675</v>
      </c>
      <c r="K12" s="60" t="n">
        <f aca="false">J12+K8-K11</f>
        <v>235565.870555556</v>
      </c>
      <c r="L12" s="60" t="n">
        <f aca="false">K12+L8-L11</f>
        <v>230598.290555556</v>
      </c>
      <c r="M12" s="60" t="n">
        <f aca="false">L12+M8-M11</f>
        <v>225885.005833333</v>
      </c>
      <c r="N12" s="60" t="n">
        <f aca="false">M12+N8-N11</f>
        <v>225902.276666667</v>
      </c>
      <c r="O12" s="60" t="n">
        <f aca="false">N12+O8-O11</f>
        <v>225244.769722222</v>
      </c>
      <c r="P12" s="60" t="n">
        <f aca="false">O12+P8-P11</f>
        <v>221975.242777778</v>
      </c>
      <c r="Q12" s="60" t="n">
        <f aca="false">P12+Q8-Q11</f>
        <v>230611.270364815</v>
      </c>
      <c r="R12" s="60" t="n">
        <f aca="false">Q12+R8-R11</f>
        <v>229230.837817128</v>
      </c>
      <c r="S12" s="60" t="n">
        <f aca="false">R12+S8-S11</f>
        <v>227658.544427111</v>
      </c>
      <c r="T12" s="60" t="n">
        <f aca="false">S12+T8-T11</f>
        <v>228424.687974721</v>
      </c>
      <c r="U12" s="60" t="n">
        <f aca="false">T12+U8-U11</f>
        <v>224168.146718636</v>
      </c>
      <c r="V12" s="60" t="n">
        <f aca="false">U12+V8-V11</f>
        <v>222200.524659478</v>
      </c>
      <c r="W12" s="60" t="n">
        <f aca="false">V12+W8-W11</f>
        <v>220106.054729039</v>
      </c>
      <c r="X12" s="60" t="n">
        <f aca="false">W12+X8-X11</f>
        <v>215412.431423145</v>
      </c>
      <c r="Y12" s="60" t="n">
        <f aca="false">X12+Y8-Y11</f>
        <v>213006.506386773</v>
      </c>
      <c r="Z12" s="60" t="n">
        <f aca="false">Y12+Z8-Z11</f>
        <v>208017.964143039</v>
      </c>
      <c r="AA12" s="60" t="n">
        <f aca="false">Z12+AA8-AA11</f>
        <v>202896.908352053</v>
      </c>
      <c r="AB12" s="60" t="n">
        <f aca="false">AA12+AB8-AB11</f>
        <v>197663.499312204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1560</v>
      </c>
    </row>
    <row r="3" customFormat="false" ht="15" hidden="false" customHeight="false" outlineLevel="0" collapsed="false">
      <c r="A3" s="49" t="s">
        <v>1561</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8" t="s">
        <v>1562</v>
      </c>
      <c r="B8" s="62" t="s">
        <v>1563</v>
      </c>
      <c r="C8" s="64" t="n">
        <f aca="false">SUM(E8:P8)</f>
        <v>180593.562540258</v>
      </c>
      <c r="D8" s="64" t="n">
        <f aca="false">SUM(Q8:AB8)</f>
        <v>99259.2688773817</v>
      </c>
      <c r="E8" s="65" t="n">
        <f aca="false">IF(E$5="A",Inputs_Actuals!E160,Inputs_Actuals!$C$174*Assumptions!$C$173/12)</f>
        <v>18300</v>
      </c>
      <c r="F8" s="65" t="n">
        <f aca="false">IF(F$5="A",Inputs_Actuals!F160,BS!E9*Assumptions!$C$173/12)</f>
        <v>17540.71</v>
      </c>
      <c r="G8" s="65" t="n">
        <f aca="false">IF(G$5="A",Inputs_Actuals!G160,BS!F9*Assumptions!$C$173/12)</f>
        <v>17000.73</v>
      </c>
      <c r="H8" s="65" t="n">
        <f aca="false">IF(H$5="A",Inputs_Actuals!H160,BS!G9*Assumptions!$C$173/12)</f>
        <v>16375.49</v>
      </c>
      <c r="I8" s="65" t="n">
        <f aca="false">IF(I$5="A",Inputs_Actuals!I160,BS!H9*Assumptions!$C$173/12)</f>
        <v>15411.49</v>
      </c>
      <c r="J8" s="65" t="n">
        <f aca="false">IF(J$5="A",Inputs_Actuals!J160,BS!I9*Assumptions!$C$173/12)</f>
        <v>14769.42</v>
      </c>
      <c r="K8" s="65" t="n">
        <f aca="false">IF(K$5="A",Inputs_Actuals!K160,BS!J9*Assumptions!$C$173/12)</f>
        <v>14166.97</v>
      </c>
      <c r="L8" s="65" t="n">
        <f aca="false">IF(L$5="A",Inputs_Actuals!L160,BS!K9*Assumptions!$C$173/12)</f>
        <v>14620.69</v>
      </c>
      <c r="M8" s="65" t="n">
        <f aca="false">IF(M$5="A",Inputs_Actuals!M160,BS!L9*Assumptions!$C$173/12)</f>
        <v>14005.8733835</v>
      </c>
      <c r="N8" s="65" t="n">
        <f aca="false">IF(N$5="A",Inputs_Actuals!N160,BS!M9*Assumptions!$C$173/12)</f>
        <v>13538.5452401385</v>
      </c>
      <c r="O8" s="65" t="n">
        <f aca="false">IF(O$5="A",Inputs_Actuals!O160,BS!N9*Assumptions!$C$173/12)</f>
        <v>12712.8582074112</v>
      </c>
      <c r="P8" s="65" t="n">
        <f aca="false">IF(P$5="A",Inputs_Actuals!P160,BS!O9*Assumptions!$C$173/12)</f>
        <v>12150.7857092078</v>
      </c>
      <c r="Q8" s="65" t="n">
        <f aca="false">IF(Q$5="A",Inputs_Actuals!Q160,BS!P9*Assumptions!$C$173/12)</f>
        <v>11689.7800705489</v>
      </c>
      <c r="R8" s="65" t="n">
        <f aca="false">IF(R$5="A",Inputs_Actuals!R160,BS!Q9*Assumptions!$C$173/12)</f>
        <v>10747.8254608842</v>
      </c>
      <c r="S8" s="65" t="n">
        <f aca="false">IF(S$5="A",Inputs_Actuals!S160,BS!R9*Assumptions!$C$173/12)</f>
        <v>10112.7177006206</v>
      </c>
      <c r="T8" s="65" t="n">
        <f aca="false">IF(T$5="A",Inputs_Actuals!T160,BS!S9*Assumptions!$C$173/12)</f>
        <v>9634.36099474516</v>
      </c>
      <c r="U8" s="65" t="n">
        <f aca="false">IF(U$5="A",Inputs_Actuals!U160,BS!T9*Assumptions!$C$173/12)</f>
        <v>8736.96726028628</v>
      </c>
      <c r="V8" s="65" t="n">
        <f aca="false">IF(V$5="A",Inputs_Actuals!V160,BS!U9*Assumptions!$C$173/12)</f>
        <v>8162.57285931887</v>
      </c>
      <c r="W8" s="65" t="n">
        <f aca="false">IF(W$5="A",Inputs_Actuals!W160,BS!V9*Assumptions!$C$173/12)</f>
        <v>7690.9143385104</v>
      </c>
      <c r="X8" s="65" t="n">
        <f aca="false">IF(X$5="A",Inputs_Actuals!X160,BS!W9*Assumptions!$C$173/12)</f>
        <v>6825.95498385893</v>
      </c>
      <c r="Y8" s="65" t="n">
        <f aca="false">IF(Y$5="A",Inputs_Actuals!Y160,BS!X9*Assumptions!$C$173/12)</f>
        <v>6107.68697797161</v>
      </c>
      <c r="Z8" s="65" t="n">
        <f aca="false">IF(Z$5="A",Inputs_Actuals!Z160,BS!Y9*Assumptions!$C$173/12)</f>
        <v>7280.33315408397</v>
      </c>
      <c r="AA8" s="65" t="n">
        <f aca="false">IF(AA$5="A",Inputs_Actuals!AA160,BS!Z9*Assumptions!$C$173/12)</f>
        <v>6443.89963906621</v>
      </c>
      <c r="AB8" s="65" t="n">
        <f aca="false">IF(AB$5="A",Inputs_Actuals!AB160,BS!AA9*Assumptions!$C$173/12)</f>
        <v>5826.25543748651</v>
      </c>
    </row>
    <row r="9" customFormat="false" ht="15" hidden="false" customHeight="false" outlineLevel="0" collapsed="false">
      <c r="A9" s="28" t="s">
        <v>493</v>
      </c>
      <c r="B9" s="62" t="s">
        <v>469</v>
      </c>
      <c r="C9" s="64" t="n">
        <f aca="false">P9</f>
        <v>150000</v>
      </c>
      <c r="D9" s="64" t="n">
        <f aca="false">AB9</f>
        <v>150000</v>
      </c>
      <c r="E9" s="65" t="n">
        <f aca="false">Inputs_Actuals!$C$201</f>
        <v>150000</v>
      </c>
      <c r="F9" s="65" t="n">
        <f aca="false">Inputs_Actuals!$C$201</f>
        <v>150000</v>
      </c>
      <c r="G9" s="65" t="n">
        <f aca="false">Inputs_Actuals!$C$201</f>
        <v>150000</v>
      </c>
      <c r="H9" s="65" t="n">
        <f aca="false">Inputs_Actuals!$C$201</f>
        <v>150000</v>
      </c>
      <c r="I9" s="65" t="n">
        <f aca="false">Inputs_Actuals!$C$201</f>
        <v>150000</v>
      </c>
      <c r="J9" s="65" t="n">
        <f aca="false">Inputs_Actuals!$C$201</f>
        <v>150000</v>
      </c>
      <c r="K9" s="65" t="n">
        <f aca="false">Inputs_Actuals!$C$201</f>
        <v>150000</v>
      </c>
      <c r="L9" s="65" t="n">
        <f aca="false">Inputs_Actuals!$C$201</f>
        <v>150000</v>
      </c>
      <c r="M9" s="65" t="n">
        <f aca="false">Inputs_Actuals!$C$201</f>
        <v>150000</v>
      </c>
      <c r="N9" s="65" t="n">
        <f aca="false">Inputs_Actuals!$C$201</f>
        <v>150000</v>
      </c>
      <c r="O9" s="65" t="n">
        <f aca="false">Inputs_Actuals!$C$201</f>
        <v>150000</v>
      </c>
      <c r="P9" s="65" t="n">
        <f aca="false">Inputs_Actuals!$C$201</f>
        <v>150000</v>
      </c>
      <c r="Q9" s="65" t="n">
        <f aca="false">Inputs_Actuals!$C$201</f>
        <v>150000</v>
      </c>
      <c r="R9" s="65" t="n">
        <f aca="false">Inputs_Actuals!$C$201</f>
        <v>150000</v>
      </c>
      <c r="S9" s="65" t="n">
        <f aca="false">Inputs_Actuals!$C$201</f>
        <v>150000</v>
      </c>
      <c r="T9" s="65" t="n">
        <f aca="false">Inputs_Actuals!$C$201</f>
        <v>150000</v>
      </c>
      <c r="U9" s="65" t="n">
        <f aca="false">Inputs_Actuals!$C$201</f>
        <v>150000</v>
      </c>
      <c r="V9" s="65" t="n">
        <f aca="false">Inputs_Actuals!$C$201</f>
        <v>150000</v>
      </c>
      <c r="W9" s="65" t="n">
        <f aca="false">Inputs_Actuals!$C$201</f>
        <v>150000</v>
      </c>
      <c r="X9" s="65" t="n">
        <f aca="false">Inputs_Actuals!$C$201</f>
        <v>150000</v>
      </c>
      <c r="Y9" s="65" t="n">
        <f aca="false">Inputs_Actuals!$C$201</f>
        <v>150000</v>
      </c>
      <c r="Z9" s="65" t="n">
        <f aca="false">Inputs_Actuals!$C$201</f>
        <v>150000</v>
      </c>
      <c r="AA9" s="65" t="n">
        <f aca="false">Inputs_Actuals!$C$201</f>
        <v>150000</v>
      </c>
      <c r="AB9" s="65" t="n">
        <f aca="false">Inputs_Actuals!$C$201</f>
        <v>150000</v>
      </c>
    </row>
    <row r="10" customFormat="false" ht="15" hidden="false" customHeight="false" outlineLevel="0" collapsed="false">
      <c r="A10" s="28" t="s">
        <v>494</v>
      </c>
      <c r="B10" s="62" t="s">
        <v>469</v>
      </c>
      <c r="C10" s="64" t="n">
        <f aca="false">P10</f>
        <v>24450000</v>
      </c>
      <c r="D10" s="64" t="n">
        <f aca="false">AB10</f>
        <v>24450000</v>
      </c>
      <c r="E10" s="65" t="n">
        <f aca="false">Inputs_Actuals!$C$202</f>
        <v>24450000</v>
      </c>
      <c r="F10" s="65" t="n">
        <f aca="false">Inputs_Actuals!$C$202</f>
        <v>24450000</v>
      </c>
      <c r="G10" s="65" t="n">
        <f aca="false">Inputs_Actuals!$C$202</f>
        <v>24450000</v>
      </c>
      <c r="H10" s="65" t="n">
        <f aca="false">Inputs_Actuals!$C$202</f>
        <v>24450000</v>
      </c>
      <c r="I10" s="65" t="n">
        <f aca="false">Inputs_Actuals!$C$202</f>
        <v>24450000</v>
      </c>
      <c r="J10" s="65" t="n">
        <f aca="false">Inputs_Actuals!$C$202</f>
        <v>24450000</v>
      </c>
      <c r="K10" s="65" t="n">
        <f aca="false">Inputs_Actuals!$C$202</f>
        <v>24450000</v>
      </c>
      <c r="L10" s="65" t="n">
        <f aca="false">Inputs_Actuals!$C$202</f>
        <v>24450000</v>
      </c>
      <c r="M10" s="65" t="n">
        <f aca="false">Inputs_Actuals!$C$202</f>
        <v>24450000</v>
      </c>
      <c r="N10" s="65" t="n">
        <f aca="false">Inputs_Actuals!$C$202</f>
        <v>24450000</v>
      </c>
      <c r="O10" s="65" t="n">
        <f aca="false">Inputs_Actuals!$C$202</f>
        <v>24450000</v>
      </c>
      <c r="P10" s="65" t="n">
        <f aca="false">Inputs_Actuals!$C$202</f>
        <v>24450000</v>
      </c>
      <c r="Q10" s="65" t="n">
        <f aca="false">Inputs_Actuals!$C$202</f>
        <v>24450000</v>
      </c>
      <c r="R10" s="65" t="n">
        <f aca="false">Inputs_Actuals!$C$202</f>
        <v>24450000</v>
      </c>
      <c r="S10" s="65" t="n">
        <f aca="false">Inputs_Actuals!$C$202</f>
        <v>24450000</v>
      </c>
      <c r="T10" s="65" t="n">
        <f aca="false">Inputs_Actuals!$C$202</f>
        <v>24450000</v>
      </c>
      <c r="U10" s="65" t="n">
        <f aca="false">Inputs_Actuals!$C$202</f>
        <v>24450000</v>
      </c>
      <c r="V10" s="65" t="n">
        <f aca="false">Inputs_Actuals!$C$202</f>
        <v>24450000</v>
      </c>
      <c r="W10" s="65" t="n">
        <f aca="false">Inputs_Actuals!$C$202</f>
        <v>24450000</v>
      </c>
      <c r="X10" s="65" t="n">
        <f aca="false">Inputs_Actuals!$C$202</f>
        <v>24450000</v>
      </c>
      <c r="Y10" s="65" t="n">
        <f aca="false">Inputs_Actuals!$C$202</f>
        <v>24450000</v>
      </c>
      <c r="Z10" s="65" t="n">
        <f aca="false">Inputs_Actuals!$C$202</f>
        <v>24450000</v>
      </c>
      <c r="AA10" s="65" t="n">
        <f aca="false">Inputs_Actuals!$C$202</f>
        <v>24450000</v>
      </c>
      <c r="AB10" s="65" t="n">
        <f aca="false">Inputs_Actuals!$C$202</f>
        <v>24450000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2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6"/>
    <col collapsed="false" customWidth="true" hidden="false" outlineLevel="0" max="3" min="3" style="0" width="7"/>
    <col collapsed="false" customWidth="true" hidden="false" outlineLevel="0" max="4" min="4" style="0" width="12"/>
    <col collapsed="false" customWidth="true" hidden="false" outlineLevel="0" max="5" min="5" style="0" width="7"/>
    <col collapsed="false" customWidth="true" hidden="false" outlineLevel="0" max="6" min="6" style="0" width="9"/>
    <col collapsed="false" customWidth="true" hidden="false" outlineLevel="0" max="7" min="7" style="0" width="7"/>
    <col collapsed="false" customWidth="true" hidden="false" outlineLevel="0" max="8" min="8" style="0" width="14"/>
    <col collapsed="false" customWidth="true" hidden="false" outlineLevel="0" max="9" min="9" style="0" width="11"/>
    <col collapsed="false" customWidth="true" hidden="false" outlineLevel="0" max="12" min="10" style="0" width="10"/>
    <col collapsed="false" customWidth="true" hidden="false" outlineLevel="0" max="18" min="13" style="0" width="7"/>
    <col collapsed="false" customWidth="true" hidden="false" outlineLevel="0" max="23" min="19" style="0" width="8"/>
    <col collapsed="false" customWidth="true" hidden="false" outlineLevel="0" max="24" min="24" style="0" width="9"/>
    <col collapsed="false" customWidth="true" hidden="false" outlineLevel="0" max="27" min="25" style="0" width="8"/>
    <col collapsed="false" customWidth="true" hidden="false" outlineLevel="0" max="29" min="28" style="0" width="10"/>
    <col collapsed="false" customWidth="true" hidden="false" outlineLevel="0" max="31" min="30" style="0" width="11"/>
    <col collapsed="false" customWidth="true" hidden="false" outlineLevel="0" max="32" min="32" style="0" width="7"/>
    <col collapsed="false" customWidth="true" hidden="false" outlineLevel="0" max="34" min="33" style="0" width="10"/>
    <col collapsed="false" customWidth="true" hidden="false" outlineLevel="0" max="35" min="35" style="0" width="7"/>
    <col collapsed="false" customWidth="true" hidden="false" outlineLevel="0" max="36" min="36" style="0" width="60"/>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1564</v>
      </c>
    </row>
    <row r="3" customFormat="false" ht="15" hidden="false" customHeight="false" outlineLevel="0" collapsed="false">
      <c r="A3" s="25" t="s">
        <v>1565</v>
      </c>
    </row>
    <row r="6" customFormat="false" ht="90" hidden="false" customHeight="true" outlineLevel="0" collapsed="false">
      <c r="A6" s="26" t="s">
        <v>1566</v>
      </c>
      <c r="B6" s="27" t="s">
        <v>1567</v>
      </c>
      <c r="C6" s="27" t="s">
        <v>1568</v>
      </c>
      <c r="D6" s="27" t="s">
        <v>1569</v>
      </c>
      <c r="E6" s="27" t="s">
        <v>1570</v>
      </c>
      <c r="F6" s="27" t="s">
        <v>1571</v>
      </c>
      <c r="G6" s="27" t="s">
        <v>1572</v>
      </c>
      <c r="H6" s="27" t="s">
        <v>158</v>
      </c>
      <c r="I6" s="27" t="s">
        <v>1573</v>
      </c>
      <c r="J6" s="27" t="s">
        <v>1574</v>
      </c>
      <c r="K6" s="27" t="s">
        <v>1575</v>
      </c>
      <c r="L6" s="27" t="s">
        <v>1576</v>
      </c>
      <c r="M6" s="27" t="s">
        <v>1577</v>
      </c>
      <c r="N6" s="27" t="s">
        <v>1578</v>
      </c>
      <c r="O6" s="27" t="s">
        <v>1579</v>
      </c>
      <c r="P6" s="27" t="s">
        <v>1580</v>
      </c>
      <c r="Q6" s="27" t="s">
        <v>1581</v>
      </c>
      <c r="R6" s="27" t="s">
        <v>1582</v>
      </c>
      <c r="S6" s="27" t="s">
        <v>1583</v>
      </c>
      <c r="T6" s="27" t="s">
        <v>1584</v>
      </c>
      <c r="U6" s="27" t="s">
        <v>1585</v>
      </c>
      <c r="V6" s="27" t="s">
        <v>1586</v>
      </c>
      <c r="W6" s="27" t="s">
        <v>1587</v>
      </c>
      <c r="X6" s="27" t="s">
        <v>1588</v>
      </c>
      <c r="Y6" s="27" t="s">
        <v>1589</v>
      </c>
      <c r="Z6" s="27" t="s">
        <v>1590</v>
      </c>
      <c r="AA6" s="27" t="s">
        <v>1591</v>
      </c>
      <c r="AB6" s="27" t="s">
        <v>1592</v>
      </c>
      <c r="AC6" s="27" t="s">
        <v>1593</v>
      </c>
      <c r="AD6" s="27" t="s">
        <v>1594</v>
      </c>
      <c r="AE6" s="27" t="s">
        <v>1595</v>
      </c>
      <c r="AF6" s="27" t="s">
        <v>1596</v>
      </c>
      <c r="AG6" s="27" t="s">
        <v>1597</v>
      </c>
      <c r="AH6" s="27" t="s">
        <v>1598</v>
      </c>
      <c r="AI6" s="27" t="s">
        <v>1599</v>
      </c>
      <c r="AJ6" s="27" t="s">
        <v>1600</v>
      </c>
    </row>
    <row r="7" customFormat="false" ht="46.25" hidden="false" customHeight="false" outlineLevel="0" collapsed="false">
      <c r="A7" s="123" t="s">
        <v>913</v>
      </c>
      <c r="B7" s="123" t="s">
        <v>1416</v>
      </c>
      <c r="C7" s="123" t="s">
        <v>1601</v>
      </c>
      <c r="D7" s="123" t="s">
        <v>430</v>
      </c>
      <c r="E7" s="75" t="n">
        <f aca="false">IF(C7="FR",Assumptions!$C$18,0)</f>
        <v>0.2</v>
      </c>
      <c r="F7" s="124" t="n">
        <v>45107</v>
      </c>
      <c r="G7" s="116" t="n">
        <f aca="false">((YEAR(F7)-YEAR(Assumptions!$C$8))*12+MONTH(F7)-MONTH(Assumptions!$C$8)+1)</f>
        <v>-30</v>
      </c>
      <c r="H7" s="123" t="s">
        <v>1602</v>
      </c>
      <c r="I7" s="107" t="n">
        <v>350000</v>
      </c>
      <c r="J7" s="107" t="n">
        <v>30464.04</v>
      </c>
      <c r="K7" s="107" t="n">
        <v>210540.34</v>
      </c>
      <c r="L7" s="107" t="n">
        <v>51959.66</v>
      </c>
      <c r="M7" s="125" t="n">
        <v>0.022</v>
      </c>
      <c r="N7" s="125" t="n">
        <v>0.55</v>
      </c>
      <c r="O7" s="125" t="n">
        <v>0.3</v>
      </c>
      <c r="P7" s="125" t="n">
        <v>0.15</v>
      </c>
      <c r="Q7" s="125" t="n">
        <v>0.35</v>
      </c>
      <c r="R7" s="126" t="n">
        <v>45</v>
      </c>
      <c r="S7" s="125" t="n">
        <v>0.92</v>
      </c>
      <c r="T7" s="125" t="n">
        <v>0.8</v>
      </c>
      <c r="U7" s="125" t="n">
        <v>0.96</v>
      </c>
      <c r="V7" s="75" t="n">
        <f aca="false">CHOOSE(Assumptions!$C$11,S7,T7,U7)</f>
        <v>0.92</v>
      </c>
      <c r="W7" s="116" t="n">
        <f aca="false">G7</f>
        <v>-30</v>
      </c>
      <c r="X7" s="127" t="str">
        <f aca="false">TEXT(F7,"mmmm")</f>
        <v>June</v>
      </c>
      <c r="Y7" s="128" t="n">
        <f aca="false">N7/(1-Q7)</f>
        <v>0.846153846153846</v>
      </c>
      <c r="Z7" s="128" t="n">
        <f aca="false">O7/(1-Q7)</f>
        <v>0.461538461538462</v>
      </c>
      <c r="AA7" s="128" t="n">
        <f aca="false">P7/(1-Q7)</f>
        <v>0.230769230769231</v>
      </c>
      <c r="AB7" s="65" t="n">
        <f aca="false">INDEX(Enterprise!$E$9:$AB$9,Assumptions!$C$10)</f>
        <v>40247.35</v>
      </c>
      <c r="AC7" s="65" t="n">
        <f aca="false">INDEX(Enterprise!$E$30:$AB$30,Assumptions!$C$10)</f>
        <v>380000</v>
      </c>
      <c r="AD7" s="65" t="n">
        <f aca="false">SUM(Enterprise!E135:P135)+Enterprise!$C$214</f>
        <v>436919.594371097</v>
      </c>
      <c r="AE7" s="65" t="n">
        <f aca="false">SUM(Enterprise!Q135:AB135)+Enterprise!$D$214</f>
        <v>578727.764292366</v>
      </c>
      <c r="AF7" s="63" t="n">
        <f aca="false">IF(PL!$C$15=0,0,AD7/PL!$C$15)</f>
        <v>0.0660475473862971</v>
      </c>
      <c r="AG7" s="65" t="n">
        <f aca="false">SUM(Enterprise!E9:P9)*Y7/Assumptions!$C$116*IF(Revenue!$C$25=0,0,Unit_Costs!$C$14/Revenue!$C$25)+SUM(Enterprise!E9:P9)*Z7/Assumptions!$C$117*IF(Revenue!$C$26=0,0,Unit_Costs!$C$27/Revenue!$C$26)+SUM(Enterprise!E9:P9)*AA7/Assumptions!$C$118*IF(Revenue!$C$27=0,0,Unit_Costs!$C$40/Revenue!$C$27)</f>
        <v>143890.460557334</v>
      </c>
      <c r="AH7" s="65" t="n">
        <f aca="false">AD7-AG7-IF(PL!$C$15=0,0,People!$C$223*AD7/PL!$C$15)</f>
        <v>233107.627556515</v>
      </c>
      <c r="AI7" s="63" t="n">
        <f aca="false">IF(AD7=0,0,AH7/AD7)</f>
        <v>0.53352523109441</v>
      </c>
      <c r="AJ7" s="129" t="s">
        <v>1603</v>
      </c>
    </row>
    <row r="8" customFormat="false" ht="15" hidden="false" customHeight="false" outlineLevel="0" collapsed="false">
      <c r="A8" s="123" t="s">
        <v>915</v>
      </c>
      <c r="B8" s="123" t="s">
        <v>1427</v>
      </c>
      <c r="C8" s="123" t="s">
        <v>1604</v>
      </c>
      <c r="D8" s="123" t="s">
        <v>1605</v>
      </c>
      <c r="E8" s="75" t="n">
        <f aca="false">IF(C8="FR",Assumptions!$C$18,0)</f>
        <v>0</v>
      </c>
      <c r="F8" s="124" t="n">
        <v>45230</v>
      </c>
      <c r="G8" s="116" t="n">
        <f aca="false">((YEAR(F8)-YEAR(Assumptions!$C$8))*12+MONTH(F8)-MONTH(Assumptions!$C$8)+1)</f>
        <v>-26</v>
      </c>
      <c r="H8" s="123" t="s">
        <v>1602</v>
      </c>
      <c r="I8" s="107" t="n">
        <v>280000</v>
      </c>
      <c r="J8" s="107" t="n">
        <v>15697.01</v>
      </c>
      <c r="K8" s="107" t="n">
        <v>48319.36</v>
      </c>
      <c r="L8" s="107" t="n">
        <v>21680.64</v>
      </c>
      <c r="M8" s="125" t="n">
        <v>0.02</v>
      </c>
      <c r="N8" s="125" t="n">
        <v>0.6</v>
      </c>
      <c r="O8" s="125" t="n">
        <v>0.15</v>
      </c>
      <c r="P8" s="125" t="n">
        <v>0.25</v>
      </c>
      <c r="Q8" s="125" t="n">
        <v>0.32</v>
      </c>
      <c r="R8" s="126" t="n">
        <v>45</v>
      </c>
      <c r="S8" s="125" t="n">
        <v>0.9</v>
      </c>
      <c r="T8" s="125" t="n">
        <v>0.78</v>
      </c>
      <c r="U8" s="125" t="n">
        <v>0.95</v>
      </c>
      <c r="V8" s="75" t="n">
        <f aca="false">CHOOSE(Assumptions!$C$11,S8,T8,U8)</f>
        <v>0.9</v>
      </c>
      <c r="W8" s="116" t="n">
        <f aca="false">G8</f>
        <v>-26</v>
      </c>
      <c r="X8" s="127" t="str">
        <f aca="false">TEXT(F8,"mmmm")</f>
        <v>October</v>
      </c>
      <c r="Y8" s="128" t="n">
        <f aca="false">N8/(1-Q8)</f>
        <v>0.882352941176471</v>
      </c>
      <c r="Z8" s="128" t="n">
        <f aca="false">O8/(1-Q8)</f>
        <v>0.220588235294118</v>
      </c>
      <c r="AA8" s="128" t="n">
        <f aca="false">P8/(1-Q8)</f>
        <v>0.367647058823529</v>
      </c>
      <c r="AB8" s="65" t="n">
        <f aca="false">INDEX(Enterprise!$E$10:$AB$10,Assumptions!$C$10)</f>
        <v>18115.84</v>
      </c>
      <c r="AC8" s="65" t="n">
        <f aca="false">INDEX(Enterprise!$E$31:$AB$31,Assumptions!$C$10)</f>
        <v>280000</v>
      </c>
      <c r="AD8" s="65" t="n">
        <f aca="false">SUM(Enterprise!E136:P136)</f>
        <v>283594.045882921</v>
      </c>
      <c r="AE8" s="65" t="n">
        <f aca="false">SUM(Enterprise!Q136:AB136)</f>
        <v>277341.470052008</v>
      </c>
      <c r="AF8" s="63" t="n">
        <f aca="false">IF(PL!$C$15=0,0,AD8/PL!$C$15)</f>
        <v>0.0428698813814586</v>
      </c>
      <c r="AG8" s="65" t="n">
        <f aca="false">SUM(Enterprise!E10:P10)*Y8/Assumptions!$C$116*IF(Revenue!$C$25=0,0,Unit_Costs!$C$14/Revenue!$C$25)+SUM(Enterprise!E10:P10)*Z8/Assumptions!$C$117*IF(Revenue!$C$26=0,0,Unit_Costs!$C$27/Revenue!$C$26)+SUM(Enterprise!E10:P10)*AA8/Assumptions!$C$118*IF(Revenue!$C$27=0,0,Unit_Costs!$C$40/Revenue!$C$27)</f>
        <v>60503.7492672618</v>
      </c>
      <c r="AH8" s="65" t="n">
        <f aca="false">AD8-AG8-IF(PL!$C$15=0,0,People!$C$223*AD8/PL!$C$15)</f>
        <v>184196.681832024</v>
      </c>
      <c r="AI8" s="63" t="n">
        <f aca="false">IF(AD8=0,0,AH8/AD8)</f>
        <v>0.649508283076112</v>
      </c>
      <c r="AJ8" s="129"/>
    </row>
    <row r="9" customFormat="false" ht="15" hidden="false" customHeight="false" outlineLevel="0" collapsed="false">
      <c r="A9" s="123" t="s">
        <v>916</v>
      </c>
      <c r="B9" s="123" t="s">
        <v>1436</v>
      </c>
      <c r="C9" s="123" t="s">
        <v>1606</v>
      </c>
      <c r="D9" s="123" t="s">
        <v>1607</v>
      </c>
      <c r="E9" s="75" t="n">
        <f aca="false">IF(C9="FR",Assumptions!$C$18,0)</f>
        <v>0</v>
      </c>
      <c r="F9" s="124" t="n">
        <v>45351</v>
      </c>
      <c r="G9" s="116" t="n">
        <f aca="false">((YEAR(F9)-YEAR(Assumptions!$C$8))*12+MONTH(F9)-MONTH(Assumptions!$C$8)+1)</f>
        <v>-22</v>
      </c>
      <c r="H9" s="123" t="s">
        <v>1602</v>
      </c>
      <c r="I9" s="107" t="n">
        <v>300000</v>
      </c>
      <c r="J9" s="107" t="n">
        <v>24425.69</v>
      </c>
      <c r="K9" s="107" t="n">
        <v>278236.16</v>
      </c>
      <c r="L9" s="107" t="n">
        <v>21763.84</v>
      </c>
      <c r="M9" s="125" t="n">
        <v>0.018</v>
      </c>
      <c r="N9" s="125" t="n">
        <v>0.45</v>
      </c>
      <c r="O9" s="125" t="n">
        <v>0.35</v>
      </c>
      <c r="P9" s="125" t="n">
        <v>0.2</v>
      </c>
      <c r="Q9" s="125" t="n">
        <v>0.35</v>
      </c>
      <c r="R9" s="126" t="n">
        <v>60</v>
      </c>
      <c r="S9" s="125" t="n">
        <v>0.9</v>
      </c>
      <c r="T9" s="125" t="n">
        <v>0.75</v>
      </c>
      <c r="U9" s="125" t="n">
        <v>0.95</v>
      </c>
      <c r="V9" s="75" t="n">
        <f aca="false">CHOOSE(Assumptions!$C$11,S9,T9,U9)</f>
        <v>0.9</v>
      </c>
      <c r="W9" s="116" t="n">
        <f aca="false">G9</f>
        <v>-22</v>
      </c>
      <c r="X9" s="127" t="str">
        <f aca="false">TEXT(F9,"mmmm")</f>
        <v>February</v>
      </c>
      <c r="Y9" s="128" t="n">
        <f aca="false">N9/(1-Q9)</f>
        <v>0.692307692307692</v>
      </c>
      <c r="Z9" s="128" t="n">
        <f aca="false">O9/(1-Q9)</f>
        <v>0.538461538461538</v>
      </c>
      <c r="AA9" s="128" t="n">
        <f aca="false">P9/(1-Q9)</f>
        <v>0.307692307692308</v>
      </c>
      <c r="AB9" s="65" t="n">
        <f aca="false">INDEX(Enterprise!$E$11:$AB$11,Assumptions!$C$10)</f>
        <v>34339</v>
      </c>
      <c r="AC9" s="65" t="n">
        <f aca="false">INDEX(Enterprise!$E$32:$AB$32,Assumptions!$C$10)</f>
        <v>320000</v>
      </c>
      <c r="AD9" s="65" t="n">
        <f aca="false">SUM(Enterprise!E137:P137)</f>
        <v>388843.273290011</v>
      </c>
      <c r="AE9" s="65" t="n">
        <f aca="false">SUM(Enterprise!Q137:AB137)</f>
        <v>451866.007439611</v>
      </c>
      <c r="AF9" s="63" t="n">
        <f aca="false">IF(PL!$C$15=0,0,AD9/PL!$C$15)</f>
        <v>0.058780024630005</v>
      </c>
      <c r="AG9" s="65" t="n">
        <f aca="false">SUM(Enterprise!E11:P11)*Y9/Assumptions!$C$116*IF(Revenue!$C$25=0,0,Unit_Costs!$C$14/Revenue!$C$25)+SUM(Enterprise!E11:P11)*Z9/Assumptions!$C$117*IF(Revenue!$C$26=0,0,Unit_Costs!$C$27/Revenue!$C$26)+SUM(Enterprise!E11:P11)*AA9/Assumptions!$C$118*IF(Revenue!$C$27=0,0,Unit_Costs!$C$40/Revenue!$C$27)</f>
        <v>138407.358288537</v>
      </c>
      <c r="AH9" s="65" t="n">
        <f aca="false">AD9-AG9-IF(PL!$C$15=0,0,People!$C$223*AD9/PL!$C$15)</f>
        <v>197107.854338335</v>
      </c>
      <c r="AI9" s="63" t="n">
        <f aca="false">IF(AD9=0,0,AH9/AD9)</f>
        <v>0.506908227241791</v>
      </c>
      <c r="AJ9" s="129"/>
    </row>
    <row r="10" customFormat="false" ht="35.05" hidden="false" customHeight="false" outlineLevel="0" collapsed="false">
      <c r="A10" s="123" t="s">
        <v>917</v>
      </c>
      <c r="B10" s="123" t="s">
        <v>1430</v>
      </c>
      <c r="C10" s="123" t="s">
        <v>1608</v>
      </c>
      <c r="D10" s="123" t="s">
        <v>1609</v>
      </c>
      <c r="E10" s="75" t="n">
        <f aca="false">IF(C10="FR",Assumptions!$C$18,0)</f>
        <v>0</v>
      </c>
      <c r="F10" s="124" t="n">
        <v>45412</v>
      </c>
      <c r="G10" s="116" t="n">
        <f aca="false">((YEAR(F10)-YEAR(Assumptions!$C$8))*12+MONTH(F10)-MONTH(Assumptions!$C$8)+1)</f>
        <v>-20</v>
      </c>
      <c r="H10" s="123" t="s">
        <v>1602</v>
      </c>
      <c r="I10" s="107" t="n">
        <v>190000</v>
      </c>
      <c r="J10" s="107" t="n">
        <v>13482.78</v>
      </c>
      <c r="K10" s="107" t="n">
        <v>115287.16</v>
      </c>
      <c r="L10" s="107" t="n">
        <v>27212.84</v>
      </c>
      <c r="M10" s="125" t="n">
        <v>0.017</v>
      </c>
      <c r="N10" s="125" t="n">
        <v>0.2</v>
      </c>
      <c r="O10" s="125" t="n">
        <v>0.6</v>
      </c>
      <c r="P10" s="125" t="n">
        <v>0.2</v>
      </c>
      <c r="Q10" s="125" t="n">
        <v>0.3</v>
      </c>
      <c r="R10" s="126" t="n">
        <v>45</v>
      </c>
      <c r="S10" s="125" t="n">
        <v>0.85</v>
      </c>
      <c r="T10" s="125" t="n">
        <v>0.65</v>
      </c>
      <c r="U10" s="125" t="n">
        <v>0.92</v>
      </c>
      <c r="V10" s="75" t="n">
        <f aca="false">CHOOSE(Assumptions!$C$11,S10,T10,U10)</f>
        <v>0.85</v>
      </c>
      <c r="W10" s="116" t="n">
        <f aca="false">G10</f>
        <v>-20</v>
      </c>
      <c r="X10" s="127" t="str">
        <f aca="false">TEXT(F10,"mmmm")</f>
        <v>April</v>
      </c>
      <c r="Y10" s="128" t="n">
        <f aca="false">N10/(1-Q10)</f>
        <v>0.285714285714286</v>
      </c>
      <c r="Z10" s="128" t="n">
        <f aca="false">O10/(1-Q10)</f>
        <v>0.857142857142857</v>
      </c>
      <c r="AA10" s="128" t="n">
        <f aca="false">P10/(1-Q10)</f>
        <v>0.285714285714286</v>
      </c>
      <c r="AB10" s="65" t="n">
        <f aca="false">INDEX(Enterprise!$E$12:$AB$12,Assumptions!$C$10)</f>
        <v>14639.43</v>
      </c>
      <c r="AC10" s="65" t="n">
        <f aca="false">INDEX(Enterprise!$E$33:$AB$33,Assumptions!$C$10)</f>
        <v>210000</v>
      </c>
      <c r="AD10" s="65" t="n">
        <f aca="false">SUM(Enterprise!E138:P138)</f>
        <v>212412.101892998</v>
      </c>
      <c r="AE10" s="65" t="n">
        <f aca="false">SUM(Enterprise!Q138:AB138)</f>
        <v>209530.504792801</v>
      </c>
      <c r="AF10" s="63" t="n">
        <f aca="false">IF(PL!$C$15=0,0,AD10/PL!$C$15)</f>
        <v>0.0321095655721152</v>
      </c>
      <c r="AG10" s="65" t="n">
        <f aca="false">SUM(Enterprise!E12:P12)*Y10/Assumptions!$C$116*IF(Revenue!$C$25=0,0,Unit_Costs!$C$14/Revenue!$C$25)+SUM(Enterprise!E12:P12)*Z10/Assumptions!$C$117*IF(Revenue!$C$26=0,0,Unit_Costs!$C$27/Revenue!$C$26)+SUM(Enterprise!E12:P12)*AA10/Assumptions!$C$118*IF(Revenue!$C$27=0,0,Unit_Costs!$C$40/Revenue!$C$27)</f>
        <v>73963.6094896393</v>
      </c>
      <c r="AH10" s="65" t="n">
        <f aca="false">AD10-AG10-IF(PL!$C$15=0,0,People!$C$223*AD10/PL!$C$15)</f>
        <v>109317.152777776</v>
      </c>
      <c r="AI10" s="63" t="n">
        <f aca="false">IF(AD10=0,0,AH10/AD10)</f>
        <v>0.514646537572722</v>
      </c>
      <c r="AJ10" s="129" t="s">
        <v>1610</v>
      </c>
    </row>
    <row r="11" customFormat="false" ht="15" hidden="false" customHeight="false" outlineLevel="0" collapsed="false">
      <c r="A11" s="123" t="s">
        <v>918</v>
      </c>
      <c r="B11" s="123" t="s">
        <v>1420</v>
      </c>
      <c r="C11" s="123" t="s">
        <v>1601</v>
      </c>
      <c r="D11" s="123" t="s">
        <v>1611</v>
      </c>
      <c r="E11" s="75" t="n">
        <f aca="false">IF(C11="FR",Assumptions!$C$18,0)</f>
        <v>0.2</v>
      </c>
      <c r="F11" s="124" t="n">
        <v>45504</v>
      </c>
      <c r="G11" s="116" t="n">
        <f aca="false">((YEAR(F11)-YEAR(Assumptions!$C$8))*12+MONTH(F11)-MONTH(Assumptions!$C$8)+1)</f>
        <v>-17</v>
      </c>
      <c r="H11" s="123" t="s">
        <v>1602</v>
      </c>
      <c r="I11" s="107" t="n">
        <v>240000</v>
      </c>
      <c r="J11" s="107" t="n">
        <v>15974.95</v>
      </c>
      <c r="K11" s="107" t="n">
        <v>96442.69</v>
      </c>
      <c r="L11" s="107" t="n">
        <v>23557.31</v>
      </c>
      <c r="M11" s="125" t="n">
        <v>0.019</v>
      </c>
      <c r="N11" s="125" t="n">
        <v>0.5</v>
      </c>
      <c r="O11" s="125" t="n">
        <v>0.35</v>
      </c>
      <c r="P11" s="125" t="n">
        <v>0.15</v>
      </c>
      <c r="Q11" s="125" t="n">
        <v>0.33</v>
      </c>
      <c r="R11" s="126" t="n">
        <v>45</v>
      </c>
      <c r="S11" s="125" t="n">
        <v>0.92</v>
      </c>
      <c r="T11" s="125" t="n">
        <v>0.8</v>
      </c>
      <c r="U11" s="125" t="n">
        <v>0.96</v>
      </c>
      <c r="V11" s="75" t="n">
        <f aca="false">CHOOSE(Assumptions!$C$11,S11,T11,U11)</f>
        <v>0.92</v>
      </c>
      <c r="W11" s="116" t="n">
        <f aca="false">G11</f>
        <v>-17</v>
      </c>
      <c r="X11" s="127" t="str">
        <f aca="false">TEXT(F11,"mmmm")</f>
        <v>July</v>
      </c>
      <c r="Y11" s="128" t="n">
        <f aca="false">N11/(1-Q11)</f>
        <v>0.746268656716418</v>
      </c>
      <c r="Z11" s="128" t="n">
        <f aca="false">O11/(1-Q11)</f>
        <v>0.522388059701493</v>
      </c>
      <c r="AA11" s="128" t="n">
        <f aca="false">P11/(1-Q11)</f>
        <v>0.223880597014925</v>
      </c>
      <c r="AB11" s="65" t="n">
        <f aca="false">INDEX(Enterprise!$E$13:$AB$13,Assumptions!$C$10)</f>
        <v>16481.85</v>
      </c>
      <c r="AC11" s="65" t="n">
        <f aca="false">INDEX(Enterprise!$E$34:$AB$34,Assumptions!$C$10)</f>
        <v>260000</v>
      </c>
      <c r="AD11" s="65" t="n">
        <f aca="false">SUM(Enterprise!E139:P139)</f>
        <v>245079.358371477</v>
      </c>
      <c r="AE11" s="65" t="n">
        <f aca="false">SUM(Enterprise!Q139:AB139)</f>
        <v>275838.15755163</v>
      </c>
      <c r="AF11" s="63" t="n">
        <f aca="false">IF(PL!$C$15=0,0,AD11/PL!$C$15)</f>
        <v>0.0370477560264672</v>
      </c>
      <c r="AG11" s="65" t="n">
        <f aca="false">SUM(Enterprise!E13:P13)*Y11/Assumptions!$C$116*IF(Revenue!$C$25=0,0,Unit_Costs!$C$14/Revenue!$C$25)+SUM(Enterprise!E13:P13)*Z11/Assumptions!$C$117*IF(Revenue!$C$26=0,0,Unit_Costs!$C$27/Revenue!$C$26)+SUM(Enterprise!E13:P13)*AA11/Assumptions!$C$118*IF(Revenue!$C$27=0,0,Unit_Costs!$C$40/Revenue!$C$27)</f>
        <v>63820.9689179988</v>
      </c>
      <c r="AH11" s="65" t="n">
        <f aca="false">AD11-AG11-IF(PL!$C$15=0,0,People!$C$223*AD11/PL!$C$15)</f>
        <v>147646.886340836</v>
      </c>
      <c r="AI11" s="63" t="n">
        <f aca="false">IF(AD11=0,0,AH11/AD11)</f>
        <v>0.602445213346124</v>
      </c>
      <c r="AJ11" s="129"/>
    </row>
    <row r="12" customFormat="false" ht="15" hidden="false" customHeight="false" outlineLevel="0" collapsed="false">
      <c r="A12" s="123" t="s">
        <v>919</v>
      </c>
      <c r="B12" s="123" t="s">
        <v>1612</v>
      </c>
      <c r="C12" s="123" t="s">
        <v>1613</v>
      </c>
      <c r="D12" s="123" t="s">
        <v>1614</v>
      </c>
      <c r="E12" s="75" t="n">
        <f aca="false">IF(C12="FR",Assumptions!$C$18,0)</f>
        <v>0</v>
      </c>
      <c r="F12" s="124" t="n">
        <v>45565</v>
      </c>
      <c r="G12" s="116" t="n">
        <f aca="false">((YEAR(F12)-YEAR(Assumptions!$C$8))*12+MONTH(F12)-MONTH(Assumptions!$C$8)+1)</f>
        <v>-15</v>
      </c>
      <c r="H12" s="123" t="s">
        <v>1602</v>
      </c>
      <c r="I12" s="107" t="n">
        <v>220000</v>
      </c>
      <c r="J12" s="107" t="n">
        <v>15803.33</v>
      </c>
      <c r="K12" s="107" t="n">
        <v>61067.49</v>
      </c>
      <c r="L12" s="107" t="n">
        <v>48932.51</v>
      </c>
      <c r="M12" s="125" t="n">
        <v>0.016</v>
      </c>
      <c r="N12" s="125" t="n">
        <v>0.15</v>
      </c>
      <c r="O12" s="125" t="n">
        <v>0.55</v>
      </c>
      <c r="P12" s="125" t="n">
        <v>0.3</v>
      </c>
      <c r="Q12" s="125" t="n">
        <v>0.3</v>
      </c>
      <c r="R12" s="126" t="n">
        <v>45</v>
      </c>
      <c r="S12" s="125" t="n">
        <v>0.9</v>
      </c>
      <c r="T12" s="125" t="n">
        <v>0.78</v>
      </c>
      <c r="U12" s="125" t="n">
        <v>0.95</v>
      </c>
      <c r="V12" s="75" t="n">
        <f aca="false">CHOOSE(Assumptions!$C$11,S12,T12,U12)</f>
        <v>0.9</v>
      </c>
      <c r="W12" s="116" t="n">
        <f aca="false">G12</f>
        <v>-15</v>
      </c>
      <c r="X12" s="127" t="str">
        <f aca="false">TEXT(F12,"mmmm")</f>
        <v>September</v>
      </c>
      <c r="Y12" s="128" t="n">
        <f aca="false">N12/(1-Q12)</f>
        <v>0.214285714285714</v>
      </c>
      <c r="Z12" s="128" t="n">
        <f aca="false">O12/(1-Q12)</f>
        <v>0.785714285714286</v>
      </c>
      <c r="AA12" s="128" t="n">
        <f aca="false">P12/(1-Q12)</f>
        <v>0.428571428571429</v>
      </c>
      <c r="AB12" s="65" t="n">
        <f aca="false">INDEX(Enterprise!$E$14:$AB$14,Assumptions!$C$10)</f>
        <v>17035.62</v>
      </c>
      <c r="AC12" s="65" t="n">
        <f aca="false">INDEX(Enterprise!$E$35:$AB$35,Assumptions!$C$10)</f>
        <v>220000</v>
      </c>
      <c r="AD12" s="65" t="n">
        <f aca="false">SUM(Enterprise!E140:P140)</f>
        <v>222753.43635383</v>
      </c>
      <c r="AE12" s="65" t="n">
        <f aca="false">SUM(Enterprise!Q140:AB140)</f>
        <v>221670.321193166</v>
      </c>
      <c r="AF12" s="63" t="n">
        <f aca="false">IF(PL!$C$15=0,0,AD12/PL!$C$15)</f>
        <v>0.0336728275238308</v>
      </c>
      <c r="AG12" s="65" t="n">
        <f aca="false">SUM(Enterprise!E14:P14)*Y12/Assumptions!$C$116*IF(Revenue!$C$25=0,0,Unit_Costs!$C$14/Revenue!$C$25)+SUM(Enterprise!E14:P14)*Z12/Assumptions!$C$117*IF(Revenue!$C$26=0,0,Unit_Costs!$C$27/Revenue!$C$26)+SUM(Enterprise!E14:P14)*AA12/Assumptions!$C$118*IF(Revenue!$C$27=0,0,Unit_Costs!$C$40/Revenue!$C$27)</f>
        <v>78309.196168347</v>
      </c>
      <c r="AH12" s="65" t="n">
        <f aca="false">AD12-AG12-IF(PL!$C$15=0,0,People!$C$223*AD12/PL!$C$15)</f>
        <v>113894.634257389</v>
      </c>
      <c r="AI12" s="63" t="n">
        <f aca="false">IF(AD12=0,0,AH12/AD12)</f>
        <v>0.511303601514255</v>
      </c>
      <c r="AJ12" s="129"/>
    </row>
    <row r="13" customFormat="false" ht="15" hidden="false" customHeight="false" outlineLevel="0" collapsed="false">
      <c r="A13" s="123" t="s">
        <v>920</v>
      </c>
      <c r="B13" s="123" t="s">
        <v>1437</v>
      </c>
      <c r="C13" s="123" t="s">
        <v>1615</v>
      </c>
      <c r="D13" s="123" t="s">
        <v>1616</v>
      </c>
      <c r="E13" s="75" t="n">
        <f aca="false">IF(C13="FR",Assumptions!$C$18,0)</f>
        <v>0</v>
      </c>
      <c r="F13" s="124" t="n">
        <v>45626</v>
      </c>
      <c r="G13" s="116" t="n">
        <f aca="false">((YEAR(F13)-YEAR(Assumptions!$C$8))*12+MONTH(F13)-MONTH(Assumptions!$C$8)+1)</f>
        <v>-13</v>
      </c>
      <c r="H13" s="123" t="s">
        <v>1602</v>
      </c>
      <c r="I13" s="107" t="n">
        <v>170000</v>
      </c>
      <c r="J13" s="107" t="n">
        <v>13045.14</v>
      </c>
      <c r="K13" s="107" t="n">
        <v>26089</v>
      </c>
      <c r="L13" s="107" t="n">
        <v>16411</v>
      </c>
      <c r="M13" s="125" t="n">
        <v>0.018</v>
      </c>
      <c r="N13" s="125" t="n">
        <v>0.45</v>
      </c>
      <c r="O13" s="125" t="n">
        <v>0.25</v>
      </c>
      <c r="P13" s="125" t="n">
        <v>0.3</v>
      </c>
      <c r="Q13" s="125" t="n">
        <v>0.28</v>
      </c>
      <c r="R13" s="126" t="n">
        <v>60</v>
      </c>
      <c r="S13" s="125" t="n">
        <v>0.9</v>
      </c>
      <c r="T13" s="125" t="n">
        <v>0.75</v>
      </c>
      <c r="U13" s="125" t="n">
        <v>0.95</v>
      </c>
      <c r="V13" s="75" t="n">
        <f aca="false">CHOOSE(Assumptions!$C$11,S13,T13,U13)</f>
        <v>0.9</v>
      </c>
      <c r="W13" s="116" t="n">
        <f aca="false">G13</f>
        <v>-13</v>
      </c>
      <c r="X13" s="127" t="str">
        <f aca="false">TEXT(F13,"mmmm")</f>
        <v>November</v>
      </c>
      <c r="Y13" s="128" t="n">
        <f aca="false">N13/(1-Q13)</f>
        <v>0.625</v>
      </c>
      <c r="Z13" s="128" t="n">
        <f aca="false">O13/(1-Q13)</f>
        <v>0.347222222222222</v>
      </c>
      <c r="AA13" s="128" t="n">
        <f aca="false">P13/(1-Q13)</f>
        <v>0.416666666666667</v>
      </c>
      <c r="AB13" s="65" t="n">
        <f aca="false">INDEX(Enterprise!$E$15:$AB$15,Assumptions!$C$10)</f>
        <v>14357.32</v>
      </c>
      <c r="AC13" s="65" t="n">
        <f aca="false">INDEX(Enterprise!$E$36:$AB$36,Assumptions!$C$10)</f>
        <v>170000</v>
      </c>
      <c r="AD13" s="65" t="n">
        <f aca="false">SUM(Enterprise!E141:P141)</f>
        <v>178103.630640251</v>
      </c>
      <c r="AE13" s="65" t="n">
        <f aca="false">SUM(Enterprise!Q141:AB141)</f>
        <v>183950.276027687</v>
      </c>
      <c r="AF13" s="63" t="n">
        <f aca="false">IF(PL!$C$15=0,0,AD13/PL!$C$15)</f>
        <v>0.0269232786442449</v>
      </c>
      <c r="AG13" s="65" t="n">
        <f aca="false">SUM(Enterprise!E15:P15)*Y13/Assumptions!$C$116*IF(Revenue!$C$25=0,0,Unit_Costs!$C$14/Revenue!$C$25)+SUM(Enterprise!E15:P15)*Z13/Assumptions!$C$117*IF(Revenue!$C$26=0,0,Unit_Costs!$C$27/Revenue!$C$26)+SUM(Enterprise!E15:P15)*AA13/Assumptions!$C$118*IF(Revenue!$C$27=0,0,Unit_Costs!$C$40/Revenue!$C$27)</f>
        <v>56249.1141101322</v>
      </c>
      <c r="AH13" s="65" t="n">
        <f aca="false">AD13-AG13-IF(PL!$C$15=0,0,People!$C$223*AD13/PL!$C$15)</f>
        <v>97428.4254247061</v>
      </c>
      <c r="AI13" s="63" t="n">
        <f aca="false">IF(AD13=0,0,AH13/AD13)</f>
        <v>0.547032225421056</v>
      </c>
      <c r="AJ13" s="129"/>
    </row>
    <row r="14" customFormat="false" ht="23.85" hidden="false" customHeight="false" outlineLevel="0" collapsed="false">
      <c r="A14" s="123" t="s">
        <v>921</v>
      </c>
      <c r="B14" s="123" t="s">
        <v>1617</v>
      </c>
      <c r="C14" s="123" t="s">
        <v>1615</v>
      </c>
      <c r="D14" s="123" t="s">
        <v>1618</v>
      </c>
      <c r="E14" s="75" t="n">
        <f aca="false">IF(C14="FR",Assumptions!$C$18,0)</f>
        <v>0</v>
      </c>
      <c r="F14" s="124" t="n">
        <v>45382</v>
      </c>
      <c r="G14" s="116" t="n">
        <f aca="false">((YEAR(F14)-YEAR(Assumptions!$C$8))*12+MONTH(F14)-MONTH(Assumptions!$C$8)+1)</f>
        <v>-21</v>
      </c>
      <c r="H14" s="123" t="s">
        <v>1619</v>
      </c>
      <c r="I14" s="107" t="n">
        <v>160000</v>
      </c>
      <c r="J14" s="107" t="n">
        <v>15672.11</v>
      </c>
      <c r="K14" s="107" t="n">
        <v>137847.01</v>
      </c>
      <c r="L14" s="107" t="n">
        <v>22152.99</v>
      </c>
      <c r="M14" s="125" t="n">
        <v>0.01</v>
      </c>
      <c r="N14" s="125" t="n">
        <v>0.3</v>
      </c>
      <c r="O14" s="125" t="n">
        <v>0.2</v>
      </c>
      <c r="P14" s="125" t="n">
        <v>0.5</v>
      </c>
      <c r="Q14" s="125" t="n">
        <v>0.28</v>
      </c>
      <c r="R14" s="126" t="n">
        <v>45</v>
      </c>
      <c r="S14" s="125" t="n">
        <v>0</v>
      </c>
      <c r="T14" s="125" t="n">
        <v>0</v>
      </c>
      <c r="U14" s="125" t="n">
        <v>0</v>
      </c>
      <c r="V14" s="75" t="n">
        <f aca="false">CHOOSE(Assumptions!$C$11,S14,T14,U14)</f>
        <v>0</v>
      </c>
      <c r="W14" s="116" t="n">
        <f aca="false">G14</f>
        <v>-21</v>
      </c>
      <c r="X14" s="127" t="str">
        <f aca="false">TEXT(F14,"mmmm")</f>
        <v>March</v>
      </c>
      <c r="Y14" s="128" t="n">
        <f aca="false">N14/(1-Q14)</f>
        <v>0.416666666666667</v>
      </c>
      <c r="Z14" s="128" t="n">
        <f aca="false">O14/(1-Q14)</f>
        <v>0.277777777777778</v>
      </c>
      <c r="AA14" s="128" t="n">
        <f aca="false">P14/(1-Q14)</f>
        <v>0.694444444444444</v>
      </c>
      <c r="AB14" s="65" t="n">
        <f aca="false">INDEX(Enterprise!$E$16:$AB$16,Assumptions!$C$10)</f>
        <v>0</v>
      </c>
      <c r="AC14" s="65" t="n">
        <f aca="false">INDEX(Enterprise!$E$37:$AB$37,Assumptions!$C$10)</f>
        <v>0</v>
      </c>
      <c r="AD14" s="65" t="n">
        <f aca="false">SUM(Enterprise!E142:P142)</f>
        <v>30369.41</v>
      </c>
      <c r="AE14" s="65" t="n">
        <f aca="false">SUM(Enterprise!Q142:AB142)</f>
        <v>0</v>
      </c>
      <c r="AF14" s="63" t="n">
        <f aca="false">IF(PL!$C$15=0,0,AD14/PL!$C$15)</f>
        <v>0.00459083335220082</v>
      </c>
      <c r="AG14" s="65" t="n">
        <f aca="false">SUM(Enterprise!E16:P16)*Y14/Assumptions!$C$116*IF(Revenue!$C$25=0,0,Unit_Costs!$C$14/Revenue!$C$25)+SUM(Enterprise!E16:P16)*Z14/Assumptions!$C$117*IF(Revenue!$C$26=0,0,Unit_Costs!$C$27/Revenue!$C$26)+SUM(Enterprise!E16:P16)*AA14/Assumptions!$C$118*IF(Revenue!$C$27=0,0,Unit_Costs!$C$40/Revenue!$C$27)</f>
        <v>10615.1043670229</v>
      </c>
      <c r="AH14" s="65" t="n">
        <f aca="false">AD14-AG14-IF(PL!$C$15=0,0,People!$C$223*AD14/PL!$C$15)</f>
        <v>15589.2811873161</v>
      </c>
      <c r="AI14" s="63" t="n">
        <f aca="false">IF(AD14=0,0,AH14/AD14)</f>
        <v>0.513321832308105</v>
      </c>
      <c r="AJ14" s="129" t="s">
        <v>1620</v>
      </c>
    </row>
    <row r="15" customFormat="false" ht="15" hidden="false" customHeight="false" outlineLevel="0" collapsed="false">
      <c r="A15" s="123" t="s">
        <v>922</v>
      </c>
      <c r="B15" s="123" t="s">
        <v>1425</v>
      </c>
      <c r="C15" s="123" t="s">
        <v>1601</v>
      </c>
      <c r="D15" s="123" t="s">
        <v>1611</v>
      </c>
      <c r="E15" s="75" t="n">
        <f aca="false">IF(C15="FR",Assumptions!$C$18,0)</f>
        <v>0.2</v>
      </c>
      <c r="F15" s="124" t="n">
        <v>45716</v>
      </c>
      <c r="G15" s="116" t="n">
        <f aca="false">((YEAR(F15)-YEAR(Assumptions!$C$8))*12+MONTH(F15)-MONTH(Assumptions!$C$8)+1)</f>
        <v>-10</v>
      </c>
      <c r="H15" s="123" t="s">
        <v>1602</v>
      </c>
      <c r="I15" s="107" t="n">
        <v>180000</v>
      </c>
      <c r="J15" s="107" t="n">
        <v>13436.75</v>
      </c>
      <c r="K15" s="107" t="n">
        <v>128675.77</v>
      </c>
      <c r="L15" s="107" t="n">
        <v>51324.23</v>
      </c>
      <c r="M15" s="125" t="n">
        <v>0.02</v>
      </c>
      <c r="N15" s="125" t="n">
        <v>0.55</v>
      </c>
      <c r="O15" s="125" t="n">
        <v>0.3</v>
      </c>
      <c r="P15" s="125" t="n">
        <v>0.15</v>
      </c>
      <c r="Q15" s="125" t="n">
        <v>0.3</v>
      </c>
      <c r="R15" s="126" t="n">
        <v>45</v>
      </c>
      <c r="S15" s="125" t="n">
        <v>0.92</v>
      </c>
      <c r="T15" s="125" t="n">
        <v>0.8</v>
      </c>
      <c r="U15" s="125" t="n">
        <v>0.96</v>
      </c>
      <c r="V15" s="75" t="n">
        <f aca="false">CHOOSE(Assumptions!$C$11,S15,T15,U15)</f>
        <v>0.92</v>
      </c>
      <c r="W15" s="116" t="n">
        <f aca="false">G15</f>
        <v>-10</v>
      </c>
      <c r="X15" s="127" t="str">
        <f aca="false">TEXT(F15,"mmmm")</f>
        <v>February</v>
      </c>
      <c r="Y15" s="128" t="n">
        <f aca="false">N15/(1-Q15)</f>
        <v>0.785714285714286</v>
      </c>
      <c r="Z15" s="128" t="n">
        <f aca="false">O15/(1-Q15)</f>
        <v>0.428571428571429</v>
      </c>
      <c r="AA15" s="128" t="n">
        <f aca="false">P15/(1-Q15)</f>
        <v>0.214285714285714</v>
      </c>
      <c r="AB15" s="65" t="n">
        <f aca="false">INDEX(Enterprise!$E$17:$AB$17,Assumptions!$C$10)</f>
        <v>13202.94</v>
      </c>
      <c r="AC15" s="65" t="n">
        <f aca="false">INDEX(Enterprise!$E$38:$AB$38,Assumptions!$C$10)</f>
        <v>190000</v>
      </c>
      <c r="AD15" s="65" t="n">
        <f aca="false">SUM(Enterprise!E143:P143)</f>
        <v>206076.81999007</v>
      </c>
      <c r="AE15" s="65" t="n">
        <f aca="false">SUM(Enterprise!Q143:AB143)</f>
        <v>201705.245210419</v>
      </c>
      <c r="AF15" s="63" t="n">
        <f aca="false">IF(PL!$C$15=0,0,AD15/PL!$C$15)</f>
        <v>0.0311518840282343</v>
      </c>
      <c r="AG15" s="65" t="n">
        <f aca="false">SUM(Enterprise!E17:P17)*Y15/Assumptions!$C$116*IF(Revenue!$C$25=0,0,Unit_Costs!$C$14/Revenue!$C$25)+SUM(Enterprise!E17:P17)*Z15/Assumptions!$C$117*IF(Revenue!$C$26=0,0,Unit_Costs!$C$27/Revenue!$C$26)+SUM(Enterprise!E17:P17)*AA15/Assumptions!$C$118*IF(Revenue!$C$27=0,0,Unit_Costs!$C$40/Revenue!$C$27)</f>
        <v>51212.3319874416</v>
      </c>
      <c r="AH15" s="65" t="n">
        <f aca="false">AD15-AG15-IF(PL!$C$15=0,0,People!$C$223*AD15/PL!$C$15)</f>
        <v>126602.003056668</v>
      </c>
      <c r="AI15" s="63" t="n">
        <f aca="false">IF(AD15=0,0,AH15/AD15)</f>
        <v>0.614343733869572</v>
      </c>
      <c r="AJ15" s="129"/>
    </row>
    <row r="16" customFormat="false" ht="15" hidden="false" customHeight="false" outlineLevel="0" collapsed="false">
      <c r="A16" s="123" t="s">
        <v>923</v>
      </c>
      <c r="B16" s="123" t="s">
        <v>1621</v>
      </c>
      <c r="C16" s="123" t="s">
        <v>1622</v>
      </c>
      <c r="D16" s="123" t="s">
        <v>430</v>
      </c>
      <c r="E16" s="75" t="n">
        <f aca="false">IF(C16="FR",Assumptions!$C$18,0)</f>
        <v>0</v>
      </c>
      <c r="F16" s="124" t="n">
        <v>45777</v>
      </c>
      <c r="G16" s="116" t="n">
        <f aca="false">((YEAR(F16)-YEAR(Assumptions!$C$8))*12+MONTH(F16)-MONTH(Assumptions!$C$8)+1)</f>
        <v>-8</v>
      </c>
      <c r="H16" s="123" t="s">
        <v>1602</v>
      </c>
      <c r="I16" s="107" t="n">
        <v>160000</v>
      </c>
      <c r="J16" s="107" t="n">
        <v>12917.58</v>
      </c>
      <c r="K16" s="107" t="n">
        <v>98987.04</v>
      </c>
      <c r="L16" s="107" t="n">
        <v>21012.96</v>
      </c>
      <c r="M16" s="125" t="n">
        <v>0.021</v>
      </c>
      <c r="N16" s="125" t="n">
        <v>0.5</v>
      </c>
      <c r="O16" s="125" t="n">
        <v>0.3</v>
      </c>
      <c r="P16" s="125" t="n">
        <v>0.2</v>
      </c>
      <c r="Q16" s="125" t="n">
        <v>0.3</v>
      </c>
      <c r="R16" s="126" t="n">
        <v>45</v>
      </c>
      <c r="S16" s="125" t="n">
        <v>0.9</v>
      </c>
      <c r="T16" s="125" t="n">
        <v>0.78</v>
      </c>
      <c r="U16" s="125" t="n">
        <v>0.95</v>
      </c>
      <c r="V16" s="75" t="n">
        <f aca="false">CHOOSE(Assumptions!$C$11,S16,T16,U16)</f>
        <v>0.9</v>
      </c>
      <c r="W16" s="116" t="n">
        <f aca="false">G16</f>
        <v>-8</v>
      </c>
      <c r="X16" s="127" t="str">
        <f aca="false">TEXT(F16,"mmmm")</f>
        <v>April</v>
      </c>
      <c r="Y16" s="128" t="n">
        <f aca="false">N16/(1-Q16)</f>
        <v>0.714285714285714</v>
      </c>
      <c r="Z16" s="128" t="n">
        <f aca="false">O16/(1-Q16)</f>
        <v>0.428571428571429</v>
      </c>
      <c r="AA16" s="128" t="n">
        <f aca="false">P16/(1-Q16)</f>
        <v>0.285714285714286</v>
      </c>
      <c r="AB16" s="65" t="n">
        <f aca="false">INDEX(Enterprise!$E$18:$AB$18,Assumptions!$C$10)</f>
        <v>18109.19</v>
      </c>
      <c r="AC16" s="65" t="n">
        <f aca="false">INDEX(Enterprise!$E$39:$AB$39,Assumptions!$C$10)</f>
        <v>170000</v>
      </c>
      <c r="AD16" s="65" t="n">
        <f aca="false">SUM(Enterprise!E144:P144)</f>
        <v>222333.703495836</v>
      </c>
      <c r="AE16" s="65" t="n">
        <f aca="false">SUM(Enterprise!Q144:AB144)</f>
        <v>250054.198671514</v>
      </c>
      <c r="AF16" s="63" t="n">
        <f aca="false">IF(PL!$C$15=0,0,AD16/PL!$C$15)</f>
        <v>0.033609378032929</v>
      </c>
      <c r="AG16" s="65" t="n">
        <f aca="false">SUM(Enterprise!E18:P18)*Y16/Assumptions!$C$116*IF(Revenue!$C$25=0,0,Unit_Costs!$C$14/Revenue!$C$25)+SUM(Enterprise!E18:P18)*Z16/Assumptions!$C$117*IF(Revenue!$C$26=0,0,Unit_Costs!$C$27/Revenue!$C$26)+SUM(Enterprise!E18:P18)*AA16/Assumptions!$C$118*IF(Revenue!$C$27=0,0,Unit_Costs!$C$40/Revenue!$C$27)</f>
        <v>66158.5212080997</v>
      </c>
      <c r="AH16" s="65" t="n">
        <f aca="false">AD16-AG16-IF(PL!$C$15=0,0,People!$C$223*AD16/PL!$C$15)</f>
        <v>125683.140784312</v>
      </c>
      <c r="AI16" s="63" t="n">
        <f aca="false">IF(AD16=0,0,AH16/AD16)</f>
        <v>0.565290546633952</v>
      </c>
      <c r="AJ16" s="129"/>
    </row>
    <row r="17" customFormat="false" ht="15" hidden="false" customHeight="false" outlineLevel="0" collapsed="false">
      <c r="A17" s="123" t="s">
        <v>924</v>
      </c>
      <c r="B17" s="123" t="s">
        <v>1623</v>
      </c>
      <c r="C17" s="123" t="s">
        <v>1615</v>
      </c>
      <c r="D17" s="123" t="s">
        <v>1624</v>
      </c>
      <c r="E17" s="75" t="n">
        <f aca="false">IF(C17="FR",Assumptions!$C$18,0)</f>
        <v>0</v>
      </c>
      <c r="F17" s="124" t="n">
        <v>45838</v>
      </c>
      <c r="G17" s="116" t="n">
        <f aca="false">((YEAR(F17)-YEAR(Assumptions!$C$8))*12+MONTH(F17)-MONTH(Assumptions!$C$8)+1)</f>
        <v>-6</v>
      </c>
      <c r="H17" s="123" t="s">
        <v>1602</v>
      </c>
      <c r="I17" s="107" t="n">
        <v>120000</v>
      </c>
      <c r="J17" s="107" t="n">
        <v>7586.71</v>
      </c>
      <c r="K17" s="107" t="n">
        <v>51335.29</v>
      </c>
      <c r="L17" s="107" t="n">
        <v>38664.71</v>
      </c>
      <c r="M17" s="125" t="n">
        <v>0.02</v>
      </c>
      <c r="N17" s="125" t="n">
        <v>0.4</v>
      </c>
      <c r="O17" s="125" t="n">
        <v>0.2</v>
      </c>
      <c r="P17" s="125" t="n">
        <v>0.4</v>
      </c>
      <c r="Q17" s="125" t="n">
        <v>0.25</v>
      </c>
      <c r="R17" s="126" t="n">
        <v>60</v>
      </c>
      <c r="S17" s="125" t="n">
        <v>0.9</v>
      </c>
      <c r="T17" s="125" t="n">
        <v>0.75</v>
      </c>
      <c r="U17" s="125" t="n">
        <v>0.95</v>
      </c>
      <c r="V17" s="75" t="n">
        <f aca="false">CHOOSE(Assumptions!$C$11,S17,T17,U17)</f>
        <v>0.9</v>
      </c>
      <c r="W17" s="116" t="n">
        <f aca="false">G17</f>
        <v>-6</v>
      </c>
      <c r="X17" s="127" t="str">
        <f aca="false">TEXT(F17,"mmmm")</f>
        <v>June</v>
      </c>
      <c r="Y17" s="128" t="n">
        <f aca="false">N17/(1-Q17)</f>
        <v>0.533333333333333</v>
      </c>
      <c r="Z17" s="128" t="n">
        <f aca="false">O17/(1-Q17)</f>
        <v>0.266666666666667</v>
      </c>
      <c r="AA17" s="128" t="n">
        <f aca="false">P17/(1-Q17)</f>
        <v>0.533333333333333</v>
      </c>
      <c r="AB17" s="65" t="n">
        <f aca="false">INDEX(Enterprise!$E$19:$AB$19,Assumptions!$C$10)</f>
        <v>11996.73</v>
      </c>
      <c r="AC17" s="65" t="n">
        <f aca="false">INDEX(Enterprise!$E$40:$AB$40,Assumptions!$C$10)</f>
        <v>130000</v>
      </c>
      <c r="AD17" s="65" t="n">
        <f aca="false">SUM(Enterprise!E145:P145)</f>
        <v>151564.374708677</v>
      </c>
      <c r="AE17" s="65" t="n">
        <f aca="false">SUM(Enterprise!Q145:AB145)</f>
        <v>166776.090771317</v>
      </c>
      <c r="AF17" s="63" t="n">
        <f aca="false">IF(PL!$C$15=0,0,AD17/PL!$C$15)</f>
        <v>0.0229114357644108</v>
      </c>
      <c r="AG17" s="65" t="n">
        <f aca="false">SUM(Enterprise!E19:P19)*Y17/Assumptions!$C$116*IF(Revenue!$C$25=0,0,Unit_Costs!$C$14/Revenue!$C$25)+SUM(Enterprise!E19:P19)*Z17/Assumptions!$C$117*IF(Revenue!$C$26=0,0,Unit_Costs!$C$27/Revenue!$C$26)+SUM(Enterprise!E19:P19)*AA17/Assumptions!$C$118*IF(Revenue!$C$27=0,0,Unit_Costs!$C$40/Revenue!$C$27)</f>
        <v>39084.4167997329</v>
      </c>
      <c r="AH17" s="65" t="n">
        <f aca="false">AD17-AG17-IF(PL!$C$15=0,0,People!$C$223*AD17/PL!$C$15)</f>
        <v>91693.6032924741</v>
      </c>
      <c r="AI17" s="63" t="n">
        <f aca="false">IF(AD17=0,0,AH17/AD17)</f>
        <v>0.604981239613327</v>
      </c>
      <c r="AJ17" s="129"/>
    </row>
    <row r="18" customFormat="false" ht="15" hidden="false" customHeight="false" outlineLevel="0" collapsed="false">
      <c r="A18" s="123" t="s">
        <v>925</v>
      </c>
      <c r="B18" s="123" t="s">
        <v>1434</v>
      </c>
      <c r="C18" s="123" t="s">
        <v>1604</v>
      </c>
      <c r="D18" s="123" t="s">
        <v>432</v>
      </c>
      <c r="E18" s="75" t="n">
        <f aca="false">IF(C18="FR",Assumptions!$C$18,0)</f>
        <v>0</v>
      </c>
      <c r="F18" s="124" t="n">
        <v>45900</v>
      </c>
      <c r="G18" s="116" t="n">
        <f aca="false">((YEAR(F18)-YEAR(Assumptions!$C$8))*12+MONTH(F18)-MONTH(Assumptions!$C$8)+1)</f>
        <v>-4</v>
      </c>
      <c r="H18" s="123" t="s">
        <v>1602</v>
      </c>
      <c r="I18" s="107" t="n">
        <v>140000</v>
      </c>
      <c r="J18" s="107" t="n">
        <v>8451.46</v>
      </c>
      <c r="K18" s="107" t="n">
        <v>41334.67</v>
      </c>
      <c r="L18" s="107" t="n">
        <v>28665.33</v>
      </c>
      <c r="M18" s="125" t="n">
        <v>0.019</v>
      </c>
      <c r="N18" s="125" t="n">
        <v>0.25</v>
      </c>
      <c r="O18" s="125" t="n">
        <v>0.35</v>
      </c>
      <c r="P18" s="125" t="n">
        <v>0.4</v>
      </c>
      <c r="Q18" s="125" t="n">
        <v>0.27</v>
      </c>
      <c r="R18" s="126" t="n">
        <v>45</v>
      </c>
      <c r="S18" s="125" t="n">
        <v>0.9</v>
      </c>
      <c r="T18" s="125" t="n">
        <v>0.75</v>
      </c>
      <c r="U18" s="125" t="n">
        <v>0.95</v>
      </c>
      <c r="V18" s="75" t="n">
        <f aca="false">CHOOSE(Assumptions!$C$11,S18,T18,U18)</f>
        <v>0.9</v>
      </c>
      <c r="W18" s="116" t="n">
        <f aca="false">G18</f>
        <v>-4</v>
      </c>
      <c r="X18" s="127" t="str">
        <f aca="false">TEXT(F18,"mmmm")</f>
        <v>August</v>
      </c>
      <c r="Y18" s="128" t="n">
        <f aca="false">N18/(1-Q18)</f>
        <v>0.342465753424658</v>
      </c>
      <c r="Z18" s="128" t="n">
        <f aca="false">O18/(1-Q18)</f>
        <v>0.479452054794521</v>
      </c>
      <c r="AA18" s="128" t="n">
        <f aca="false">P18/(1-Q18)</f>
        <v>0.547945205479452</v>
      </c>
      <c r="AB18" s="65" t="n">
        <f aca="false">INDEX(Enterprise!$E$20:$AB$20,Assumptions!$C$10)</f>
        <v>11573.31</v>
      </c>
      <c r="AC18" s="65" t="n">
        <f aca="false">INDEX(Enterprise!$E$41:$AB$41,Assumptions!$C$10)</f>
        <v>150000</v>
      </c>
      <c r="AD18" s="65" t="n">
        <f aca="false">SUM(Enterprise!E146:P146)</f>
        <v>158772.986964012</v>
      </c>
      <c r="AE18" s="65" t="n">
        <f aca="false">SUM(Enterprise!Q146:AB146)</f>
        <v>162049.785605428</v>
      </c>
      <c r="AF18" s="63" t="n">
        <f aca="false">IF(PL!$C$15=0,0,AD18/PL!$C$15)</f>
        <v>0.0240011354841247</v>
      </c>
      <c r="AG18" s="65" t="n">
        <f aca="false">SUM(Enterprise!E20:P20)*Y18/Assumptions!$C$116*IF(Revenue!$C$25=0,0,Unit_Costs!$C$14/Revenue!$C$25)+SUM(Enterprise!E20:P20)*Z18/Assumptions!$C$117*IF(Revenue!$C$26=0,0,Unit_Costs!$C$27/Revenue!$C$26)+SUM(Enterprise!E20:P20)*AA18/Assumptions!$C$118*IF(Revenue!$C$27=0,0,Unit_Costs!$C$40/Revenue!$C$27)</f>
        <v>49873.3898052129</v>
      </c>
      <c r="AH18" s="65" t="n">
        <f aca="false">AD18-AG18-IF(PL!$C$15=0,0,People!$C$223*AD18/PL!$C$15)</f>
        <v>87124.6146347483</v>
      </c>
      <c r="AI18" s="63" t="n">
        <f aca="false">IF(AD18=0,0,AH18/AD18)</f>
        <v>0.548737013145041</v>
      </c>
      <c r="AJ18" s="129"/>
    </row>
    <row r="19" customFormat="false" ht="15" hidden="false" customHeight="false" outlineLevel="0" collapsed="false">
      <c r="A19" s="123" t="s">
        <v>926</v>
      </c>
      <c r="B19" s="123" t="s">
        <v>1625</v>
      </c>
      <c r="C19" s="123" t="s">
        <v>1626</v>
      </c>
      <c r="D19" s="123" t="s">
        <v>1605</v>
      </c>
      <c r="E19" s="75" t="n">
        <f aca="false">IF(C19="FR",Assumptions!$C$18,0)</f>
        <v>0</v>
      </c>
      <c r="F19" s="124" t="n">
        <v>45961</v>
      </c>
      <c r="G19" s="116" t="n">
        <f aca="false">((YEAR(F19)-YEAR(Assumptions!$C$8))*12+MONTH(F19)-MONTH(Assumptions!$C$8)+1)</f>
        <v>-2</v>
      </c>
      <c r="H19" s="123" t="s">
        <v>1602</v>
      </c>
      <c r="I19" s="107" t="n">
        <v>150000</v>
      </c>
      <c r="J19" s="107" t="n">
        <v>9066.34</v>
      </c>
      <c r="K19" s="107" t="n">
        <v>26532.73</v>
      </c>
      <c r="L19" s="107" t="n">
        <v>10967.27</v>
      </c>
      <c r="M19" s="125" t="n">
        <v>0.022</v>
      </c>
      <c r="N19" s="125" t="n">
        <v>0.55</v>
      </c>
      <c r="O19" s="125" t="n">
        <v>0.15</v>
      </c>
      <c r="P19" s="125" t="n">
        <v>0.3</v>
      </c>
      <c r="Q19" s="125" t="n">
        <v>0.28</v>
      </c>
      <c r="R19" s="126" t="n">
        <v>45</v>
      </c>
      <c r="S19" s="125" t="n">
        <v>0.92</v>
      </c>
      <c r="T19" s="125" t="n">
        <v>0.8</v>
      </c>
      <c r="U19" s="125" t="n">
        <v>0.96</v>
      </c>
      <c r="V19" s="75" t="n">
        <f aca="false">CHOOSE(Assumptions!$C$11,S19,T19,U19)</f>
        <v>0.92</v>
      </c>
      <c r="W19" s="116" t="n">
        <f aca="false">G19</f>
        <v>-2</v>
      </c>
      <c r="X19" s="127" t="str">
        <f aca="false">TEXT(F19,"mmmm")</f>
        <v>October</v>
      </c>
      <c r="Y19" s="128" t="n">
        <f aca="false">N19/(1-Q19)</f>
        <v>0.763888888888889</v>
      </c>
      <c r="Z19" s="128" t="n">
        <f aca="false">O19/(1-Q19)</f>
        <v>0.208333333333333</v>
      </c>
      <c r="AA19" s="128" t="n">
        <f aca="false">P19/(1-Q19)</f>
        <v>0.416666666666667</v>
      </c>
      <c r="AB19" s="65" t="n">
        <f aca="false">INDEX(Enterprise!$E$21:$AB$21,Assumptions!$C$10)</f>
        <v>10432.39</v>
      </c>
      <c r="AC19" s="65" t="n">
        <f aca="false">INDEX(Enterprise!$E$42:$AB$42,Assumptions!$C$10)</f>
        <v>150000</v>
      </c>
      <c r="AD19" s="65" t="n">
        <f aca="false">SUM(Enterprise!E147:P147)</f>
        <v>154207.997143742</v>
      </c>
      <c r="AE19" s="65" t="n">
        <f aca="false">SUM(Enterprise!Q147:AB147)</f>
        <v>153180.121801664</v>
      </c>
      <c r="AF19" s="63" t="n">
        <f aca="false">IF(PL!$C$15=0,0,AD19/PL!$C$15)</f>
        <v>0.0233110625614254</v>
      </c>
      <c r="AG19" s="65" t="n">
        <f aca="false">SUM(Enterprise!E21:P21)*Y19/Assumptions!$C$116*IF(Revenue!$C$25=0,0,Unit_Costs!$C$14/Revenue!$C$25)+SUM(Enterprise!E21:P21)*Z19/Assumptions!$C$117*IF(Revenue!$C$26=0,0,Unit_Costs!$C$27/Revenue!$C$26)+SUM(Enterprise!E21:P21)*AA19/Assumptions!$C$118*IF(Revenue!$C$27=0,0,Unit_Costs!$C$40/Revenue!$C$27)</f>
        <v>34142.4253707537</v>
      </c>
      <c r="AH19" s="65" t="n">
        <f aca="false">AD19-AG19-IF(PL!$C$15=0,0,People!$C$223*AD19/PL!$C$15)</f>
        <v>98916.656538214</v>
      </c>
      <c r="AI19" s="63" t="n">
        <f aca="false">IF(AD19=0,0,AH19/AD19)</f>
        <v>0.641449589971723</v>
      </c>
      <c r="AJ19" s="129"/>
    </row>
    <row r="20" customFormat="false" ht="15" hidden="false" customHeight="false" outlineLevel="0" collapsed="false">
      <c r="A20" s="123" t="s">
        <v>927</v>
      </c>
      <c r="B20" s="123" t="s">
        <v>1423</v>
      </c>
      <c r="C20" s="123" t="s">
        <v>1601</v>
      </c>
      <c r="D20" s="123" t="s">
        <v>1605</v>
      </c>
      <c r="E20" s="75" t="n">
        <f aca="false">IF(C20="FR",Assumptions!$C$18,0)</f>
        <v>0.2</v>
      </c>
      <c r="F20" s="124" t="n">
        <v>46142</v>
      </c>
      <c r="G20" s="116" t="n">
        <f aca="false">((YEAR(F20)-YEAR(Assumptions!$C$8))*12+MONTH(F20)-MONTH(Assumptions!$C$8)+1)</f>
        <v>4</v>
      </c>
      <c r="H20" s="123" t="s">
        <v>1627</v>
      </c>
      <c r="I20" s="107" t="n">
        <v>240000</v>
      </c>
      <c r="J20" s="107" t="n">
        <v>11000</v>
      </c>
      <c r="K20" s="107" t="n">
        <v>0</v>
      </c>
      <c r="L20" s="107" t="n">
        <v>0</v>
      </c>
      <c r="M20" s="125" t="n">
        <v>0.03</v>
      </c>
      <c r="N20" s="125" t="n">
        <v>0.6</v>
      </c>
      <c r="O20" s="125" t="n">
        <v>0.1</v>
      </c>
      <c r="P20" s="125" t="n">
        <v>0.3</v>
      </c>
      <c r="Q20" s="125" t="n">
        <v>0.3</v>
      </c>
      <c r="R20" s="126" t="n">
        <v>45</v>
      </c>
      <c r="S20" s="125" t="n">
        <v>0.95</v>
      </c>
      <c r="T20" s="125" t="n">
        <v>0.85</v>
      </c>
      <c r="U20" s="125" t="n">
        <v>0.97</v>
      </c>
      <c r="V20" s="75" t="n">
        <f aca="false">CHOOSE(Assumptions!$C$11,S20,T20,U20)</f>
        <v>0.95</v>
      </c>
      <c r="W20" s="116" t="n">
        <f aca="false">G20</f>
        <v>4</v>
      </c>
      <c r="X20" s="127" t="str">
        <f aca="false">TEXT(F20,"mmmm")</f>
        <v>April</v>
      </c>
      <c r="Y20" s="128" t="n">
        <f aca="false">N20/(1-Q20)</f>
        <v>0.857142857142857</v>
      </c>
      <c r="Z20" s="128" t="n">
        <f aca="false">O20/(1-Q20)</f>
        <v>0.142857142857143</v>
      </c>
      <c r="AA20" s="128" t="n">
        <f aca="false">P20/(1-Q20)</f>
        <v>0.428571428571429</v>
      </c>
      <c r="AB20" s="65" t="n">
        <f aca="false">INDEX(Enterprise!$E$22:$AB$22,Assumptions!$C$10)</f>
        <v>12511.62</v>
      </c>
      <c r="AC20" s="65" t="n">
        <f aca="false">INDEX(Enterprise!$E$43:$AB$43,Assumptions!$C$10)</f>
        <v>240000</v>
      </c>
      <c r="AD20" s="65" t="n">
        <f aca="false">SUM(Enterprise!E148:P148)</f>
        <v>113884.711271192</v>
      </c>
      <c r="AE20" s="65" t="n">
        <f aca="false">SUM(Enterprise!Q148:AB148)</f>
        <v>275759.364280314</v>
      </c>
      <c r="AF20" s="63" t="n">
        <f aca="false">IF(PL!$C$15=0,0,AD20/PL!$C$15)</f>
        <v>0.0172155379643382</v>
      </c>
      <c r="AG20" s="65" t="n">
        <f aca="false">SUM(Enterprise!E22:P22)*Y20/Assumptions!$C$116*IF(Revenue!$C$25=0,0,Unit_Costs!$C$14/Revenue!$C$25)+SUM(Enterprise!E22:P22)*Z20/Assumptions!$C$117*IF(Revenue!$C$26=0,0,Unit_Costs!$C$27/Revenue!$C$26)+SUM(Enterprise!E22:P22)*AA20/Assumptions!$C$118*IF(Revenue!$C$27=0,0,Unit_Costs!$C$40/Revenue!$C$27)</f>
        <v>31753.4285537588</v>
      </c>
      <c r="AH20" s="65" t="n">
        <f aca="false">AD20-AG20-IF(PL!$C$15=0,0,People!$C$223*AD20/PL!$C$15)</f>
        <v>66512.5200733269</v>
      </c>
      <c r="AI20" s="63" t="n">
        <f aca="false">IF(AD20=0,0,AH20/AD20)</f>
        <v>0.584033794623593</v>
      </c>
      <c r="AJ20" s="129" t="s">
        <v>1628</v>
      </c>
    </row>
    <row r="21" customFormat="false" ht="15" hidden="false" customHeight="false" outlineLevel="0" collapsed="false">
      <c r="A21" s="123" t="s">
        <v>928</v>
      </c>
      <c r="B21" s="123" t="s">
        <v>1432</v>
      </c>
      <c r="C21" s="123" t="s">
        <v>1606</v>
      </c>
      <c r="D21" s="123" t="s">
        <v>1614</v>
      </c>
      <c r="E21" s="75" t="n">
        <f aca="false">IF(C21="FR",Assumptions!$C$18,0)</f>
        <v>0</v>
      </c>
      <c r="F21" s="124" t="n">
        <v>46234</v>
      </c>
      <c r="G21" s="116" t="n">
        <f aca="false">((YEAR(F21)-YEAR(Assumptions!$C$8))*12+MONTH(F21)-MONTH(Assumptions!$C$8)+1)</f>
        <v>7</v>
      </c>
      <c r="H21" s="123" t="s">
        <v>1627</v>
      </c>
      <c r="I21" s="107" t="n">
        <v>300000</v>
      </c>
      <c r="J21" s="107" t="n">
        <v>14000</v>
      </c>
      <c r="K21" s="107" t="n">
        <v>0</v>
      </c>
      <c r="L21" s="107" t="n">
        <v>0</v>
      </c>
      <c r="M21" s="125" t="n">
        <v>0.03</v>
      </c>
      <c r="N21" s="125" t="n">
        <v>0.15</v>
      </c>
      <c r="O21" s="125" t="n">
        <v>0.55</v>
      </c>
      <c r="P21" s="125" t="n">
        <v>0.3</v>
      </c>
      <c r="Q21" s="125" t="n">
        <v>0.32</v>
      </c>
      <c r="R21" s="126" t="n">
        <v>60</v>
      </c>
      <c r="S21" s="125" t="n">
        <v>0.95</v>
      </c>
      <c r="T21" s="125" t="n">
        <v>0.85</v>
      </c>
      <c r="U21" s="125" t="n">
        <v>0.97</v>
      </c>
      <c r="V21" s="75" t="n">
        <f aca="false">CHOOSE(Assumptions!$C$11,S21,T21,U21)</f>
        <v>0.95</v>
      </c>
      <c r="W21" s="116" t="n">
        <f aca="false">G21</f>
        <v>7</v>
      </c>
      <c r="X21" s="127" t="str">
        <f aca="false">TEXT(F21,"mmmm")</f>
        <v>July</v>
      </c>
      <c r="Y21" s="128" t="n">
        <f aca="false">N21/(1-Q21)</f>
        <v>0.220588235294118</v>
      </c>
      <c r="Z21" s="128" t="n">
        <f aca="false">O21/(1-Q21)</f>
        <v>0.808823529411765</v>
      </c>
      <c r="AA21" s="128" t="n">
        <f aca="false">P21/(1-Q21)</f>
        <v>0.441176470588235</v>
      </c>
      <c r="AB21" s="65" t="n">
        <f aca="false">INDEX(Enterprise!$E$23:$AB$23,Assumptions!$C$10)</f>
        <v>15807.63</v>
      </c>
      <c r="AC21" s="65" t="n">
        <f aca="false">INDEX(Enterprise!$E$44:$AB$44,Assumptions!$C$10)</f>
        <v>300000</v>
      </c>
      <c r="AD21" s="65" t="n">
        <f aca="false">SUM(Enterprise!E149:P149)</f>
        <v>99704.8178444242</v>
      </c>
      <c r="AE21" s="65" t="n">
        <f aca="false">SUM(Enterprise!Q149:AB149)</f>
        <v>335901.846289622</v>
      </c>
      <c r="AF21" s="63" t="n">
        <f aca="false">IF(PL!$C$15=0,0,AD21/PL!$C$15)</f>
        <v>0.0150720150024413</v>
      </c>
      <c r="AG21" s="65" t="n">
        <f aca="false">SUM(Enterprise!E23:P23)*Y21/Assumptions!$C$116*IF(Revenue!$C$25=0,0,Unit_Costs!$C$14/Revenue!$C$25)+SUM(Enterprise!E23:P23)*Z21/Assumptions!$C$117*IF(Revenue!$C$26=0,0,Unit_Costs!$C$27/Revenue!$C$26)+SUM(Enterprise!E23:P23)*AA21/Assumptions!$C$118*IF(Revenue!$C$27=0,0,Unit_Costs!$C$40/Revenue!$C$27)</f>
        <v>42789.0868576453</v>
      </c>
      <c r="AH21" s="65" t="n">
        <f aca="false">AD21-AG21-IF(PL!$C$15=0,0,People!$C$223*AD21/PL!$C$15)</f>
        <v>43241.675294811</v>
      </c>
      <c r="AI21" s="63" t="n">
        <f aca="false">IF(AD21=0,0,AH21/AD21)</f>
        <v>0.433696948950689</v>
      </c>
      <c r="AJ21" s="129" t="s">
        <v>1629</v>
      </c>
    </row>
    <row r="22" customFormat="false" ht="15" hidden="false" customHeight="false" outlineLevel="0" collapsed="false">
      <c r="A22" s="123" t="s">
        <v>1630</v>
      </c>
      <c r="B22" s="123" t="s">
        <v>1631</v>
      </c>
      <c r="C22" s="123" t="s">
        <v>1601</v>
      </c>
      <c r="D22" s="123" t="s">
        <v>430</v>
      </c>
      <c r="E22" s="75" t="n">
        <f aca="false">IF(C22="FR",Assumptions!$C$18,0)</f>
        <v>0.2</v>
      </c>
      <c r="F22" s="124" t="n">
        <v>46356</v>
      </c>
      <c r="G22" s="116" t="n">
        <f aca="false">((YEAR(F22)-YEAR(Assumptions!$C$8))*12+MONTH(F22)-MONTH(Assumptions!$C$8)+1)</f>
        <v>11</v>
      </c>
      <c r="H22" s="123" t="s">
        <v>1632</v>
      </c>
      <c r="I22" s="107" t="n">
        <v>360000</v>
      </c>
      <c r="J22" s="107" t="n">
        <v>16200</v>
      </c>
      <c r="K22" s="107" t="n">
        <v>0</v>
      </c>
      <c r="L22" s="107" t="n">
        <v>0</v>
      </c>
      <c r="M22" s="125" t="n">
        <v>0.03</v>
      </c>
      <c r="N22" s="125" t="n">
        <v>0.5</v>
      </c>
      <c r="O22" s="125" t="n">
        <v>0.3</v>
      </c>
      <c r="P22" s="125" t="n">
        <v>0.2</v>
      </c>
      <c r="Q22" s="125" t="n">
        <v>0.33</v>
      </c>
      <c r="R22" s="126" t="n">
        <v>45</v>
      </c>
      <c r="S22" s="125" t="n">
        <v>0.55</v>
      </c>
      <c r="T22" s="125" t="n">
        <v>0.3</v>
      </c>
      <c r="U22" s="125" t="n">
        <v>0.7</v>
      </c>
      <c r="V22" s="75" t="n">
        <f aca="false">CHOOSE(Assumptions!$C$11,S22,T22,U22)</f>
        <v>0.55</v>
      </c>
      <c r="W22" s="116" t="n">
        <f aca="false">G22+Assumptions!$F$185</f>
        <v>11</v>
      </c>
      <c r="X22" s="127" t="str">
        <f aca="false">TEXT(F22,"mmmm")</f>
        <v>November</v>
      </c>
      <c r="Y22" s="128" t="n">
        <f aca="false">N22/(1-Q22)</f>
        <v>0.746268656716418</v>
      </c>
      <c r="Z22" s="128" t="n">
        <f aca="false">O22/(1-Q22)</f>
        <v>0.447761194029851</v>
      </c>
      <c r="AA22" s="128" t="n">
        <f aca="false">P22/(1-Q22)</f>
        <v>0.298507462686567</v>
      </c>
      <c r="AB22" s="65" t="n">
        <f aca="false">INDEX(Enterprise!$E$24:$AB$24,Assumptions!$C$10)</f>
        <v>0</v>
      </c>
      <c r="AC22" s="65" t="n">
        <f aca="false">INDEX(Enterprise!$E$45:$AB$45,Assumptions!$C$10)</f>
        <v>0</v>
      </c>
      <c r="AD22" s="65" t="n">
        <f aca="false">SUM(Enterprise!E150:P150)</f>
        <v>18180.855</v>
      </c>
      <c r="AE22" s="65" t="n">
        <f aca="false">SUM(Enterprise!Q150:AB150)</f>
        <v>204778.454417389</v>
      </c>
      <c r="AF22" s="63" t="n">
        <f aca="false">IF(PL!$C$15=0,0,AD22/PL!$C$15)</f>
        <v>0.00274833378407835</v>
      </c>
      <c r="AG22" s="65" t="n">
        <f aca="false">SUM(Enterprise!E24:P24)*Y22/Assumptions!$C$116*IF(Revenue!$C$25=0,0,Unit_Costs!$C$14/Revenue!$C$25)+SUM(Enterprise!E24:P24)*Z22/Assumptions!$C$117*IF(Revenue!$C$26=0,0,Unit_Costs!$C$27/Revenue!$C$26)+SUM(Enterprise!E24:P24)*AA22/Assumptions!$C$118*IF(Revenue!$C$27=0,0,Unit_Costs!$C$40/Revenue!$C$27)</f>
        <v>5986.81904754616</v>
      </c>
      <c r="AH22" s="65" t="n">
        <f aca="false">AD22-AG22-IF(PL!$C$15=0,0,People!$C$223*AD22/PL!$C$15)</f>
        <v>9700.61558248227</v>
      </c>
      <c r="AI22" s="63" t="n">
        <f aca="false">IF(AD22=0,0,AH22/AD22)</f>
        <v>0.533562122489964</v>
      </c>
      <c r="AJ22" s="129" t="s">
        <v>1633</v>
      </c>
    </row>
    <row r="23" customFormat="false" ht="15" hidden="false" customHeight="false" outlineLevel="0" collapsed="false">
      <c r="A23" s="123" t="s">
        <v>1634</v>
      </c>
      <c r="B23" s="123" t="s">
        <v>1635</v>
      </c>
      <c r="C23" s="123" t="s">
        <v>1636</v>
      </c>
      <c r="D23" s="123" t="s">
        <v>1605</v>
      </c>
      <c r="E23" s="75" t="n">
        <f aca="false">IF(C23="FR",Assumptions!$C$18,0)</f>
        <v>0</v>
      </c>
      <c r="F23" s="124" t="n">
        <v>46387</v>
      </c>
      <c r="G23" s="116" t="n">
        <f aca="false">((YEAR(F23)-YEAR(Assumptions!$C$8))*12+MONTH(F23)-MONTH(Assumptions!$C$8)+1)</f>
        <v>12</v>
      </c>
      <c r="H23" s="123" t="s">
        <v>1632</v>
      </c>
      <c r="I23" s="107" t="n">
        <v>240000</v>
      </c>
      <c r="J23" s="107" t="n">
        <v>10800</v>
      </c>
      <c r="K23" s="107" t="n">
        <v>0</v>
      </c>
      <c r="L23" s="107" t="n">
        <v>0</v>
      </c>
      <c r="M23" s="125" t="n">
        <v>0.03</v>
      </c>
      <c r="N23" s="125" t="n">
        <v>0.6</v>
      </c>
      <c r="O23" s="125" t="n">
        <v>0.1</v>
      </c>
      <c r="P23" s="125" t="n">
        <v>0.3</v>
      </c>
      <c r="Q23" s="125" t="n">
        <v>0.3</v>
      </c>
      <c r="R23" s="126" t="n">
        <v>45</v>
      </c>
      <c r="S23" s="125" t="n">
        <v>0.5</v>
      </c>
      <c r="T23" s="125" t="n">
        <v>0.25</v>
      </c>
      <c r="U23" s="125" t="n">
        <v>0.65</v>
      </c>
      <c r="V23" s="75" t="n">
        <f aca="false">CHOOSE(Assumptions!$C$11,S23,T23,U23)</f>
        <v>0.5</v>
      </c>
      <c r="W23" s="116" t="n">
        <f aca="false">G23+Assumptions!$F$185</f>
        <v>12</v>
      </c>
      <c r="X23" s="127" t="str">
        <f aca="false">TEXT(F23,"mmmm")</f>
        <v>December</v>
      </c>
      <c r="Y23" s="128" t="n">
        <f aca="false">N23/(1-Q23)</f>
        <v>0.857142857142857</v>
      </c>
      <c r="Z23" s="128" t="n">
        <f aca="false">O23/(1-Q23)</f>
        <v>0.142857142857143</v>
      </c>
      <c r="AA23" s="128" t="n">
        <f aca="false">P23/(1-Q23)</f>
        <v>0.428571428571429</v>
      </c>
      <c r="AB23" s="65" t="n">
        <f aca="false">INDEX(Enterprise!$E$25:$AB$25,Assumptions!$C$10)</f>
        <v>0</v>
      </c>
      <c r="AC23" s="65" t="n">
        <f aca="false">INDEX(Enterprise!$E$46:$AB$46,Assumptions!$C$10)</f>
        <v>0</v>
      </c>
      <c r="AD23" s="65" t="n">
        <f aca="false">SUM(Enterprise!E151:P151)</f>
        <v>5400</v>
      </c>
      <c r="AE23" s="65" t="n">
        <f aca="false">SUM(Enterprise!Q151:AB151)</f>
        <v>122051.652311506</v>
      </c>
      <c r="AF23" s="63" t="n">
        <f aca="false">IF(PL!$C$15=0,0,AD23/PL!$C$15)</f>
        <v>0.000816298377277807</v>
      </c>
      <c r="AG23" s="65" t="n">
        <f aca="false">SUM(Enterprise!E25:P25)*Y23/Assumptions!$C$116*IF(Revenue!$C$25=0,0,Unit_Costs!$C$14/Revenue!$C$25)+SUM(Enterprise!E25:P25)*Z23/Assumptions!$C$117*IF(Revenue!$C$26=0,0,Unit_Costs!$C$27/Revenue!$C$26)+SUM(Enterprise!E25:P25)*AA23/Assumptions!$C$118*IF(Revenue!$C$27=0,0,Unit_Costs!$C$40/Revenue!$C$27)</f>
        <v>1505.6324266563</v>
      </c>
      <c r="AH23" s="65" t="n">
        <f aca="false">AD23-AG23-IF(PL!$C$15=0,0,People!$C$223*AD23/PL!$C$15)</f>
        <v>3153.78249096741</v>
      </c>
      <c r="AI23" s="63" t="n">
        <f aca="false">IF(AD23=0,0,AH23/AD23)</f>
        <v>0.584033794623594</v>
      </c>
      <c r="AJ23" s="129" t="s">
        <v>1637</v>
      </c>
    </row>
    <row r="24" customFormat="false" ht="15" hidden="false" customHeight="false" outlineLevel="0" collapsed="false">
      <c r="A24" s="123" t="s">
        <v>1638</v>
      </c>
      <c r="B24" s="123" t="s">
        <v>1639</v>
      </c>
      <c r="C24" s="123" t="s">
        <v>1606</v>
      </c>
      <c r="D24" s="123" t="s">
        <v>1607</v>
      </c>
      <c r="E24" s="75" t="n">
        <f aca="false">IF(C24="FR",Assumptions!$C$18,0)</f>
        <v>0</v>
      </c>
      <c r="F24" s="124" t="n">
        <v>46446</v>
      </c>
      <c r="G24" s="116" t="n">
        <f aca="false">((YEAR(F24)-YEAR(Assumptions!$C$8))*12+MONTH(F24)-MONTH(Assumptions!$C$8)+1)</f>
        <v>14</v>
      </c>
      <c r="H24" s="123" t="s">
        <v>1632</v>
      </c>
      <c r="I24" s="107" t="n">
        <v>420000</v>
      </c>
      <c r="J24" s="107" t="n">
        <v>18900</v>
      </c>
      <c r="K24" s="107" t="n">
        <v>0</v>
      </c>
      <c r="L24" s="107" t="n">
        <v>0</v>
      </c>
      <c r="M24" s="125" t="n">
        <v>0.03</v>
      </c>
      <c r="N24" s="125" t="n">
        <v>0.45</v>
      </c>
      <c r="O24" s="125" t="n">
        <v>0.35</v>
      </c>
      <c r="P24" s="125" t="n">
        <v>0.2</v>
      </c>
      <c r="Q24" s="125" t="n">
        <v>0.35</v>
      </c>
      <c r="R24" s="126" t="n">
        <v>45</v>
      </c>
      <c r="S24" s="125" t="n">
        <v>0.4</v>
      </c>
      <c r="T24" s="125" t="n">
        <v>0.15</v>
      </c>
      <c r="U24" s="125" t="n">
        <v>0.55</v>
      </c>
      <c r="V24" s="75" t="n">
        <f aca="false">CHOOSE(Assumptions!$C$11,S24,T24,U24)</f>
        <v>0.4</v>
      </c>
      <c r="W24" s="116" t="n">
        <f aca="false">G24+Assumptions!$F$185</f>
        <v>14</v>
      </c>
      <c r="X24" s="127" t="str">
        <f aca="false">TEXT(F24,"mmmm")</f>
        <v>February</v>
      </c>
      <c r="Y24" s="128" t="n">
        <f aca="false">N24/(1-Q24)</f>
        <v>0.692307692307692</v>
      </c>
      <c r="Z24" s="128" t="n">
        <f aca="false">O24/(1-Q24)</f>
        <v>0.538461538461538</v>
      </c>
      <c r="AA24" s="128" t="n">
        <f aca="false">P24/(1-Q24)</f>
        <v>0.307692307692308</v>
      </c>
      <c r="AB24" s="65" t="n">
        <f aca="false">INDEX(Enterprise!$E$26:$AB$26,Assumptions!$C$10)</f>
        <v>0</v>
      </c>
      <c r="AC24" s="65" t="n">
        <f aca="false">INDEX(Enterprise!$E$47:$AB$47,Assumptions!$C$10)</f>
        <v>0</v>
      </c>
      <c r="AD24" s="65" t="n">
        <f aca="false">SUM(Enterprise!E152:P152)</f>
        <v>0</v>
      </c>
      <c r="AE24" s="65" t="n">
        <f aca="false">SUM(Enterprise!Q152:AB152)</f>
        <v>100627.251565612</v>
      </c>
      <c r="AF24" s="63" t="n">
        <f aca="false">IF(PL!$C$15=0,0,AD24/PL!$C$15)</f>
        <v>0</v>
      </c>
      <c r="AG24" s="65" t="n">
        <f aca="false">SUM(Enterprise!E26:P26)*Y24/Assumptions!$C$116*IF(Revenue!$C$25=0,0,Unit_Costs!$C$14/Revenue!$C$25)+SUM(Enterprise!E26:P26)*Z24/Assumptions!$C$117*IF(Revenue!$C$26=0,0,Unit_Costs!$C$27/Revenue!$C$26)+SUM(Enterprise!E26:P26)*AA24/Assumptions!$C$118*IF(Revenue!$C$27=0,0,Unit_Costs!$C$40/Revenue!$C$27)</f>
        <v>0</v>
      </c>
      <c r="AH24" s="65" t="n">
        <f aca="false">AD24-AG24-IF(PL!$C$15=0,0,People!$C$223*AD24/PL!$C$15)</f>
        <v>0</v>
      </c>
      <c r="AI24" s="63" t="n">
        <f aca="false">IF(AD24=0,0,AH24/AD24)</f>
        <v>0</v>
      </c>
      <c r="AJ24" s="129" t="s">
        <v>1640</v>
      </c>
    </row>
    <row r="25" customFormat="false" ht="15" hidden="false" customHeight="false" outlineLevel="0" collapsed="false">
      <c r="A25" s="123" t="s">
        <v>1641</v>
      </c>
      <c r="B25" s="123" t="s">
        <v>1642</v>
      </c>
      <c r="C25" s="123" t="s">
        <v>1608</v>
      </c>
      <c r="D25" s="123" t="s">
        <v>1609</v>
      </c>
      <c r="E25" s="75" t="n">
        <f aca="false">IF(C25="FR",Assumptions!$C$18,0)</f>
        <v>0</v>
      </c>
      <c r="F25" s="124" t="n">
        <v>46477</v>
      </c>
      <c r="G25" s="116" t="n">
        <f aca="false">((YEAR(F25)-YEAR(Assumptions!$C$8))*12+MONTH(F25)-MONTH(Assumptions!$C$8)+1)</f>
        <v>15</v>
      </c>
      <c r="H25" s="123" t="s">
        <v>1632</v>
      </c>
      <c r="I25" s="107" t="n">
        <v>180000</v>
      </c>
      <c r="J25" s="107" t="n">
        <v>8100</v>
      </c>
      <c r="K25" s="107" t="n">
        <v>0</v>
      </c>
      <c r="L25" s="107" t="n">
        <v>0</v>
      </c>
      <c r="M25" s="125" t="n">
        <v>0.03</v>
      </c>
      <c r="N25" s="125" t="n">
        <v>0.2</v>
      </c>
      <c r="O25" s="125" t="n">
        <v>0.6</v>
      </c>
      <c r="P25" s="125" t="n">
        <v>0.2</v>
      </c>
      <c r="Q25" s="125" t="n">
        <v>0.3</v>
      </c>
      <c r="R25" s="126" t="n">
        <v>45</v>
      </c>
      <c r="S25" s="125" t="n">
        <v>0.5</v>
      </c>
      <c r="T25" s="125" t="n">
        <v>0.25</v>
      </c>
      <c r="U25" s="125" t="n">
        <v>0.6</v>
      </c>
      <c r="V25" s="75" t="n">
        <f aca="false">CHOOSE(Assumptions!$C$11,S25,T25,U25)</f>
        <v>0.5</v>
      </c>
      <c r="W25" s="116" t="n">
        <f aca="false">G25+Assumptions!$F$185</f>
        <v>15</v>
      </c>
      <c r="X25" s="127" t="str">
        <f aca="false">TEXT(F25,"mmmm")</f>
        <v>March</v>
      </c>
      <c r="Y25" s="128" t="n">
        <f aca="false">N25/(1-Q25)</f>
        <v>0.285714285714286</v>
      </c>
      <c r="Z25" s="128" t="n">
        <f aca="false">O25/(1-Q25)</f>
        <v>0.857142857142857</v>
      </c>
      <c r="AA25" s="128" t="n">
        <f aca="false">P25/(1-Q25)</f>
        <v>0.285714285714286</v>
      </c>
      <c r="AB25" s="65" t="n">
        <f aca="false">INDEX(Enterprise!$E$27:$AB$27,Assumptions!$C$10)</f>
        <v>0</v>
      </c>
      <c r="AC25" s="65" t="n">
        <f aca="false">INDEX(Enterprise!$E$48:$AB$48,Assumptions!$C$10)</f>
        <v>0</v>
      </c>
      <c r="AD25" s="65" t="n">
        <f aca="false">SUM(Enterprise!E153:P153)</f>
        <v>0</v>
      </c>
      <c r="AE25" s="65" t="n">
        <f aca="false">SUM(Enterprise!Q153:AB153)</f>
        <v>48181.4532188693</v>
      </c>
      <c r="AF25" s="63" t="n">
        <f aca="false">IF(PL!$C$15=0,0,AD25/PL!$C$15)</f>
        <v>0</v>
      </c>
      <c r="AG25" s="65" t="n">
        <f aca="false">SUM(Enterprise!E27:P27)*Y25/Assumptions!$C$116*IF(Revenue!$C$25=0,0,Unit_Costs!$C$14/Revenue!$C$25)+SUM(Enterprise!E27:P27)*Z25/Assumptions!$C$117*IF(Revenue!$C$26=0,0,Unit_Costs!$C$27/Revenue!$C$26)+SUM(Enterprise!E27:P27)*AA25/Assumptions!$C$118*IF(Revenue!$C$27=0,0,Unit_Costs!$C$40/Revenue!$C$27)</f>
        <v>0</v>
      </c>
      <c r="AH25" s="65" t="n">
        <f aca="false">AD25-AG25-IF(PL!$C$15=0,0,People!$C$223*AD25/PL!$C$15)</f>
        <v>0</v>
      </c>
      <c r="AI25" s="63" t="n">
        <f aca="false">IF(AD25=0,0,AH25/AD25)</f>
        <v>0</v>
      </c>
      <c r="AJ25" s="129" t="s">
        <v>1643</v>
      </c>
    </row>
    <row r="26" customFormat="false" ht="15" hidden="false" customHeight="false" outlineLevel="0" collapsed="false">
      <c r="A26" s="123" t="s">
        <v>1644</v>
      </c>
      <c r="B26" s="123" t="s">
        <v>1645</v>
      </c>
      <c r="C26" s="123" t="s">
        <v>1604</v>
      </c>
      <c r="D26" s="123" t="s">
        <v>1616</v>
      </c>
      <c r="E26" s="75" t="n">
        <f aca="false">IF(C26="FR",Assumptions!$C$18,0)</f>
        <v>0</v>
      </c>
      <c r="F26" s="124" t="n">
        <v>46538</v>
      </c>
      <c r="G26" s="116" t="n">
        <f aca="false">((YEAR(F26)-YEAR(Assumptions!$C$8))*12+MONTH(F26)-MONTH(Assumptions!$C$8)+1)</f>
        <v>17</v>
      </c>
      <c r="H26" s="123" t="s">
        <v>1632</v>
      </c>
      <c r="I26" s="107" t="n">
        <v>300000</v>
      </c>
      <c r="J26" s="107" t="n">
        <v>13500</v>
      </c>
      <c r="K26" s="107" t="n">
        <v>0</v>
      </c>
      <c r="L26" s="107" t="n">
        <v>0</v>
      </c>
      <c r="M26" s="125" t="n">
        <v>0.03</v>
      </c>
      <c r="N26" s="125" t="n">
        <v>0.45</v>
      </c>
      <c r="O26" s="125" t="n">
        <v>0.25</v>
      </c>
      <c r="P26" s="125" t="n">
        <v>0.3</v>
      </c>
      <c r="Q26" s="125" t="n">
        <v>0.3</v>
      </c>
      <c r="R26" s="126" t="n">
        <v>45</v>
      </c>
      <c r="S26" s="125" t="n">
        <v>0.45</v>
      </c>
      <c r="T26" s="125" t="n">
        <v>0.2</v>
      </c>
      <c r="U26" s="125" t="n">
        <v>0.6</v>
      </c>
      <c r="V26" s="75" t="n">
        <f aca="false">CHOOSE(Assumptions!$C$11,S26,T26,U26)</f>
        <v>0.45</v>
      </c>
      <c r="W26" s="116" t="n">
        <f aca="false">G26+Assumptions!$F$185</f>
        <v>17</v>
      </c>
      <c r="X26" s="127" t="str">
        <f aca="false">TEXT(F26,"mmmm")</f>
        <v>May</v>
      </c>
      <c r="Y26" s="128" t="n">
        <f aca="false">N26/(1-Q26)</f>
        <v>0.642857142857143</v>
      </c>
      <c r="Z26" s="128" t="n">
        <f aca="false">O26/(1-Q26)</f>
        <v>0.357142857142857</v>
      </c>
      <c r="AA26" s="128" t="n">
        <f aca="false">P26/(1-Q26)</f>
        <v>0.428571428571429</v>
      </c>
      <c r="AB26" s="65" t="n">
        <f aca="false">INDEX(Enterprise!$E$28:$AB$28,Assumptions!$C$10)</f>
        <v>0</v>
      </c>
      <c r="AC26" s="65" t="n">
        <f aca="false">INDEX(Enterprise!$E$49:$AB$49,Assumptions!$C$10)</f>
        <v>0</v>
      </c>
      <c r="AD26" s="65" t="n">
        <f aca="false">SUM(Enterprise!E154:P154)</f>
        <v>0</v>
      </c>
      <c r="AE26" s="65" t="n">
        <f aca="false">SUM(Enterprise!Q154:AB154)</f>
        <v>55837.3800687161</v>
      </c>
      <c r="AF26" s="63" t="n">
        <f aca="false">IF(PL!$C$15=0,0,AD26/PL!$C$15)</f>
        <v>0</v>
      </c>
      <c r="AG26" s="65" t="n">
        <f aca="false">SUM(Enterprise!E28:P28)*Y26/Assumptions!$C$116*IF(Revenue!$C$25=0,0,Unit_Costs!$C$14/Revenue!$C$25)+SUM(Enterprise!E28:P28)*Z26/Assumptions!$C$117*IF(Revenue!$C$26=0,0,Unit_Costs!$C$27/Revenue!$C$26)+SUM(Enterprise!E28:P28)*AA26/Assumptions!$C$118*IF(Revenue!$C$27=0,0,Unit_Costs!$C$40/Revenue!$C$27)</f>
        <v>0</v>
      </c>
      <c r="AH26" s="65" t="n">
        <f aca="false">AD26-AG26-IF(PL!$C$15=0,0,People!$C$223*AD26/PL!$C$15)</f>
        <v>0</v>
      </c>
      <c r="AI26" s="63" t="n">
        <f aca="false">IF(AD26=0,0,AH26/AD26)</f>
        <v>0</v>
      </c>
      <c r="AJ26" s="129" t="s">
        <v>1646</v>
      </c>
    </row>
    <row r="27" customFormat="false" ht="15" hidden="false" customHeight="false" outlineLevel="0" collapsed="false">
      <c r="A27" s="81" t="s">
        <v>1438</v>
      </c>
      <c r="I27" s="82" t="n">
        <f aca="false">SUMIFS(I7:I26,G7:G26,"&lt;=0")</f>
        <v>2660000</v>
      </c>
      <c r="J27" s="82" t="n">
        <f aca="false">SUMIFS(J7:J26,G7:G26,"&lt;=0")</f>
        <v>196023.89</v>
      </c>
      <c r="L27" s="82" t="n">
        <f aca="false">SUMIFS(L7:L26,G7:G26,"&lt;=0")</f>
        <v>384305.29</v>
      </c>
      <c r="AB27" s="82" t="n">
        <f aca="false">SUM(AB7:AB26)</f>
        <v>248850.22</v>
      </c>
      <c r="AC27" s="82" t="n">
        <f aca="false">SUM(AC7:AC26)</f>
        <v>3170000</v>
      </c>
      <c r="AD27" s="82" t="n">
        <f aca="false">SUM(AD7:AD26)</f>
        <v>3128201.11722054</v>
      </c>
      <c r="AE27" s="82" t="n">
        <f aca="false">SUM(AE7:AE26)</f>
        <v>4275827.34556164</v>
      </c>
      <c r="AF27" s="130" t="n">
        <f aca="false">SUM(AF7:AF26)</f>
        <v>0.472878795515879</v>
      </c>
      <c r="AG27" s="82" t="n">
        <f aca="false">SUM(AG7:AG26)</f>
        <v>948265.613223121</v>
      </c>
      <c r="AH27" s="82" t="n">
        <f aca="false">SUM(AH7:AH26)</f>
        <v>1750917.1554629</v>
      </c>
      <c r="AI27" s="37" t="n">
        <f aca="false">IF(AD27=0,0,AH27/AD27)</f>
        <v>0.55972013622277</v>
      </c>
    </row>
    <row r="29" customFormat="false" ht="15" hidden="false" customHeight="false" outlineLevel="0" collapsed="false">
      <c r="A29" s="25" t="s">
        <v>1647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20" t="s">
        <v>1648</v>
      </c>
    </row>
    <row r="2" customFormat="false" ht="17.35" hidden="false" customHeight="false" outlineLevel="0" collapsed="false">
      <c r="A2" s="21" t="s">
        <v>1649</v>
      </c>
    </row>
    <row r="3" customFormat="false" ht="15" hidden="false" customHeight="false" outlineLevel="0" collapsed="false">
      <c r="A3" s="25" t="s">
        <v>1650</v>
      </c>
    </row>
    <row r="5" customFormat="false" ht="15" hidden="false" customHeight="false" outlineLevel="0" collapsed="false">
      <c r="A5" s="22" t="s">
        <v>1651</v>
      </c>
      <c r="B5" s="23"/>
      <c r="C5" s="23"/>
      <c r="D5" s="23"/>
      <c r="E5" s="23"/>
      <c r="F5" s="23"/>
      <c r="G5" s="23"/>
      <c r="H5" s="23"/>
    </row>
    <row r="6" customFormat="false" ht="15" hidden="false" customHeight="false" outlineLevel="0" collapsed="false">
      <c r="A6" s="28" t="s">
        <v>1652</v>
      </c>
      <c r="B6" s="62"/>
      <c r="C6" s="123" t="s">
        <v>1653</v>
      </c>
      <c r="D6" s="62" t="s">
        <v>1654</v>
      </c>
    </row>
    <row r="7" customFormat="false" ht="15" hidden="false" customHeight="false" outlineLevel="0" collapsed="false">
      <c r="A7" s="28" t="s">
        <v>1655</v>
      </c>
      <c r="B7" s="62"/>
      <c r="C7" s="123" t="s">
        <v>618</v>
      </c>
    </row>
    <row r="8" customFormat="false" ht="15" hidden="false" customHeight="false" outlineLevel="0" collapsed="false">
      <c r="A8" s="28" t="s">
        <v>1656</v>
      </c>
      <c r="B8" s="62" t="s">
        <v>1657</v>
      </c>
      <c r="C8" s="119" t="n">
        <v>46053</v>
      </c>
      <c r="D8" s="62" t="s">
        <v>1658</v>
      </c>
    </row>
    <row r="9" customFormat="false" ht="15" hidden="false" customHeight="false" outlineLevel="0" collapsed="false">
      <c r="A9" s="28" t="s">
        <v>1659</v>
      </c>
      <c r="B9" s="62" t="s">
        <v>1657</v>
      </c>
      <c r="C9" s="119" t="n">
        <v>46265</v>
      </c>
      <c r="D9" s="62" t="s">
        <v>1660</v>
      </c>
    </row>
    <row r="10" customFormat="false" ht="15" hidden="false" customHeight="false" outlineLevel="0" collapsed="false">
      <c r="A10" s="28" t="s">
        <v>1661</v>
      </c>
      <c r="B10" s="62" t="s">
        <v>1662</v>
      </c>
      <c r="C10" s="36" t="n">
        <f aca="false">MATCH(Assumptions!$C$9,Assumptions!$E$203:$AB$203,0)</f>
        <v>8</v>
      </c>
    </row>
    <row r="11" customFormat="false" ht="15" hidden="false" customHeight="false" outlineLevel="0" collapsed="false">
      <c r="A11" s="28" t="s">
        <v>1663</v>
      </c>
      <c r="B11" s="62" t="s">
        <v>1664</v>
      </c>
      <c r="C11" s="131" t="n">
        <v>1</v>
      </c>
      <c r="D11" s="62" t="s">
        <v>1665</v>
      </c>
    </row>
    <row r="12" customFormat="false" ht="15" hidden="false" customHeight="false" outlineLevel="0" collapsed="false">
      <c r="A12" s="28" t="s">
        <v>1666</v>
      </c>
      <c r="B12" s="62" t="s">
        <v>1662</v>
      </c>
      <c r="C12" s="132" t="str">
        <f aca="false">CHOOSE(Assumptions!$C$11,"Base","Downside","Upside")</f>
        <v>Base</v>
      </c>
    </row>
    <row r="13" customFormat="false" ht="15" hidden="false" customHeight="false" outlineLevel="0" collapsed="false">
      <c r="A13" s="28" t="s">
        <v>385</v>
      </c>
      <c r="B13" s="62" t="s">
        <v>618</v>
      </c>
      <c r="C13" s="107" t="n">
        <v>3000000</v>
      </c>
      <c r="D13" s="62" t="s">
        <v>1667</v>
      </c>
    </row>
    <row r="14" customFormat="false" ht="15" hidden="false" customHeight="false" outlineLevel="0" collapsed="false">
      <c r="A14" s="28" t="s">
        <v>1668</v>
      </c>
      <c r="B14" s="62" t="s">
        <v>618</v>
      </c>
      <c r="C14" s="107" t="n">
        <v>0</v>
      </c>
      <c r="D14" s="62" t="s">
        <v>1669</v>
      </c>
    </row>
    <row r="15" customFormat="false" ht="15" hidden="false" customHeight="false" outlineLevel="0" collapsed="false">
      <c r="A15" s="28" t="s">
        <v>1670</v>
      </c>
      <c r="B15" s="62" t="s">
        <v>1662</v>
      </c>
      <c r="C15" s="112" t="n">
        <f aca="false">Assumptions!$C$9</f>
        <v>46265</v>
      </c>
    </row>
    <row r="17" customFormat="false" ht="15" hidden="false" customHeight="false" outlineLevel="0" collapsed="false">
      <c r="A17" s="22" t="s">
        <v>1671</v>
      </c>
      <c r="B17" s="23"/>
      <c r="C17" s="23"/>
      <c r="D17" s="23"/>
      <c r="E17" s="23"/>
      <c r="F17" s="23"/>
      <c r="G17" s="23"/>
      <c r="H17" s="23"/>
    </row>
    <row r="18" customFormat="false" ht="15" hidden="false" customHeight="false" outlineLevel="0" collapsed="false">
      <c r="A18" s="28" t="s">
        <v>1672</v>
      </c>
      <c r="B18" s="62" t="s">
        <v>1673</v>
      </c>
      <c r="C18" s="125" t="n">
        <v>0.2</v>
      </c>
      <c r="D18" s="62" t="s">
        <v>1674</v>
      </c>
    </row>
    <row r="19" customFormat="false" ht="15" hidden="false" customHeight="false" outlineLevel="0" collapsed="false">
      <c r="A19" s="28" t="s">
        <v>1675</v>
      </c>
      <c r="D19" s="62" t="s">
        <v>1676</v>
      </c>
    </row>
    <row r="20" customFormat="false" ht="15" hidden="false" customHeight="false" outlineLevel="0" collapsed="false">
      <c r="A20" s="28" t="s">
        <v>1677</v>
      </c>
      <c r="D20" s="62" t="s">
        <v>1678</v>
      </c>
    </row>
    <row r="21" customFormat="false" ht="15" hidden="false" customHeight="false" outlineLevel="0" collapsed="false">
      <c r="A21" s="28" t="s">
        <v>1679</v>
      </c>
      <c r="B21" s="62" t="s">
        <v>1680</v>
      </c>
      <c r="C21" s="125" t="n">
        <v>0.35</v>
      </c>
      <c r="D21" s="62" t="s">
        <v>1681</v>
      </c>
    </row>
    <row r="22" customFormat="false" ht="15" hidden="false" customHeight="false" outlineLevel="0" collapsed="false">
      <c r="A22" s="28" t="s">
        <v>1682</v>
      </c>
      <c r="B22" s="62" t="s">
        <v>1680</v>
      </c>
      <c r="C22" s="125" t="n">
        <v>0.4</v>
      </c>
    </row>
    <row r="23" customFormat="false" ht="15" hidden="false" customHeight="false" outlineLevel="0" collapsed="false">
      <c r="A23" s="28" t="s">
        <v>1683</v>
      </c>
      <c r="B23" s="62" t="s">
        <v>1680</v>
      </c>
      <c r="C23" s="125" t="n">
        <v>0.25</v>
      </c>
    </row>
    <row r="24" customFormat="false" ht="15" hidden="false" customHeight="false" outlineLevel="0" collapsed="false">
      <c r="A24" s="28" t="s">
        <v>1684</v>
      </c>
      <c r="B24" s="62" t="s">
        <v>1680</v>
      </c>
      <c r="C24" s="125" t="n">
        <v>0.45</v>
      </c>
      <c r="D24" s="62" t="s">
        <v>1681</v>
      </c>
    </row>
    <row r="25" customFormat="false" ht="15" hidden="false" customHeight="false" outlineLevel="0" collapsed="false">
      <c r="A25" s="28" t="s">
        <v>1685</v>
      </c>
      <c r="B25" s="62" t="s">
        <v>1680</v>
      </c>
      <c r="C25" s="125" t="n">
        <v>0.35</v>
      </c>
    </row>
    <row r="26" customFormat="false" ht="15" hidden="false" customHeight="false" outlineLevel="0" collapsed="false">
      <c r="A26" s="28" t="s">
        <v>1686</v>
      </c>
      <c r="B26" s="62" t="s">
        <v>1680</v>
      </c>
      <c r="C26" s="125" t="n">
        <v>0.2</v>
      </c>
    </row>
    <row r="27" customFormat="false" ht="15" hidden="false" customHeight="false" outlineLevel="0" collapsed="false">
      <c r="A27" s="28" t="s">
        <v>1687</v>
      </c>
      <c r="B27" s="62" t="s">
        <v>1688</v>
      </c>
      <c r="C27" s="126" t="n">
        <v>19</v>
      </c>
      <c r="D27" s="62" t="s">
        <v>1689</v>
      </c>
    </row>
    <row r="28" customFormat="false" ht="15" hidden="false" customHeight="false" outlineLevel="0" collapsed="false">
      <c r="A28" s="28" t="s">
        <v>1690</v>
      </c>
      <c r="B28" s="62" t="s">
        <v>1673</v>
      </c>
      <c r="C28" s="125" t="n">
        <v>0.25</v>
      </c>
      <c r="D28" s="62" t="s">
        <v>1691</v>
      </c>
    </row>
    <row r="29" customFormat="false" ht="15" hidden="false" customHeight="false" outlineLevel="0" collapsed="false">
      <c r="A29" s="28" t="s">
        <v>1692</v>
      </c>
      <c r="B29" s="62" t="s">
        <v>618</v>
      </c>
      <c r="C29" s="107" t="n">
        <v>15492000</v>
      </c>
      <c r="D29" s="62" t="s">
        <v>1693</v>
      </c>
    </row>
    <row r="30" customFormat="false" ht="15" hidden="false" customHeight="false" outlineLevel="0" collapsed="false">
      <c r="A30" s="28" t="s">
        <v>1694</v>
      </c>
      <c r="B30" s="62" t="s">
        <v>618</v>
      </c>
      <c r="C30" s="107" t="n">
        <v>1000000</v>
      </c>
      <c r="D30" s="62" t="s">
        <v>1695</v>
      </c>
    </row>
    <row r="31" customFormat="false" ht="15" hidden="false" customHeight="false" outlineLevel="0" collapsed="false">
      <c r="A31" s="28" t="s">
        <v>1696</v>
      </c>
      <c r="B31" s="62" t="s">
        <v>1680</v>
      </c>
      <c r="C31" s="125" t="n">
        <v>0.5</v>
      </c>
    </row>
    <row r="32" customFormat="false" ht="15" hidden="false" customHeight="false" outlineLevel="0" collapsed="false">
      <c r="A32" s="28" t="s">
        <v>1697</v>
      </c>
      <c r="B32" s="62" t="s">
        <v>1673</v>
      </c>
      <c r="C32" s="125" t="n">
        <v>0.3</v>
      </c>
      <c r="D32" s="62" t="s">
        <v>1698</v>
      </c>
    </row>
    <row r="33" customFormat="false" ht="15" hidden="false" customHeight="false" outlineLevel="0" collapsed="false">
      <c r="A33" s="28" t="s">
        <v>1699</v>
      </c>
      <c r="B33" s="62" t="s">
        <v>1673</v>
      </c>
      <c r="C33" s="125" t="n">
        <v>0.4</v>
      </c>
      <c r="D33" s="62" t="s">
        <v>1700</v>
      </c>
    </row>
    <row r="34" customFormat="false" ht="15" hidden="false" customHeight="false" outlineLevel="0" collapsed="false">
      <c r="A34" s="28" t="s">
        <v>1701</v>
      </c>
      <c r="D34" s="62" t="s">
        <v>1702</v>
      </c>
    </row>
    <row r="35" customFormat="false" ht="15" hidden="false" customHeight="false" outlineLevel="0" collapsed="false">
      <c r="A35" s="28" t="s">
        <v>1703</v>
      </c>
      <c r="B35" s="62" t="s">
        <v>618</v>
      </c>
      <c r="C35" s="107" t="n">
        <v>935770</v>
      </c>
      <c r="D35" s="62" t="s">
        <v>1704</v>
      </c>
    </row>
    <row r="36" customFormat="false" ht="15" hidden="false" customHeight="false" outlineLevel="0" collapsed="false">
      <c r="A36" s="28" t="s">
        <v>1705</v>
      </c>
      <c r="B36" s="62" t="s">
        <v>618</v>
      </c>
      <c r="C36" s="107" t="n">
        <v>12900</v>
      </c>
      <c r="D36" s="62" t="s">
        <v>1706</v>
      </c>
    </row>
    <row r="37" customFormat="false" ht="15" hidden="false" customHeight="false" outlineLevel="0" collapsed="false">
      <c r="A37" s="28" t="s">
        <v>1707</v>
      </c>
      <c r="B37" s="62" t="s">
        <v>618</v>
      </c>
      <c r="C37" s="107" t="n">
        <v>3900</v>
      </c>
      <c r="D37" s="62" t="s">
        <v>1708</v>
      </c>
    </row>
    <row r="38" customFormat="false" ht="15" hidden="false" customHeight="false" outlineLevel="0" collapsed="false">
      <c r="A38" s="28" t="s">
        <v>1709</v>
      </c>
      <c r="B38" s="62" t="s">
        <v>618</v>
      </c>
      <c r="C38" s="107" t="n">
        <v>1850</v>
      </c>
      <c r="D38" s="62" t="s">
        <v>1710</v>
      </c>
    </row>
    <row r="39" customFormat="false" ht="15" hidden="false" customHeight="false" outlineLevel="0" collapsed="false">
      <c r="A39" s="28" t="s">
        <v>1711</v>
      </c>
      <c r="B39" s="62" t="s">
        <v>618</v>
      </c>
      <c r="C39" s="107" t="n">
        <v>13300</v>
      </c>
    </row>
    <row r="40" customFormat="false" ht="15" hidden="false" customHeight="false" outlineLevel="0" collapsed="false">
      <c r="A40" s="28" t="s">
        <v>1712</v>
      </c>
      <c r="B40" s="62" t="s">
        <v>618</v>
      </c>
      <c r="C40" s="107" t="n">
        <v>4300</v>
      </c>
    </row>
    <row r="41" customFormat="false" ht="15" hidden="false" customHeight="false" outlineLevel="0" collapsed="false">
      <c r="A41" s="28" t="s">
        <v>1713</v>
      </c>
      <c r="D41" s="62" t="s">
        <v>1714</v>
      </c>
    </row>
    <row r="43" customFormat="false" ht="15" hidden="false" customHeight="false" outlineLevel="0" collapsed="false">
      <c r="A43" s="22" t="s">
        <v>1715</v>
      </c>
      <c r="B43" s="23"/>
      <c r="C43" s="23"/>
      <c r="D43" s="23"/>
      <c r="E43" s="23"/>
      <c r="F43" s="23"/>
      <c r="G43" s="23"/>
      <c r="H43" s="23"/>
    </row>
    <row r="44" customFormat="false" ht="15" hidden="false" customHeight="false" outlineLevel="0" collapsed="false">
      <c r="A44" s="28" t="s">
        <v>1716</v>
      </c>
      <c r="B44" s="62" t="s">
        <v>1673</v>
      </c>
      <c r="C44" s="133" t="n">
        <v>0.13</v>
      </c>
      <c r="D44" s="62" t="s">
        <v>1717</v>
      </c>
    </row>
    <row r="45" customFormat="false" ht="15" hidden="false" customHeight="false" outlineLevel="0" collapsed="false">
      <c r="A45" s="28" t="s">
        <v>1718</v>
      </c>
      <c r="B45" s="62" t="s">
        <v>1673</v>
      </c>
      <c r="C45" s="133" t="n">
        <v>0.0855</v>
      </c>
    </row>
    <row r="46" customFormat="false" ht="15" hidden="false" customHeight="false" outlineLevel="0" collapsed="false">
      <c r="A46" s="28" t="s">
        <v>1719</v>
      </c>
      <c r="B46" s="62" t="s">
        <v>1673</v>
      </c>
      <c r="C46" s="133" t="n">
        <v>0.0211</v>
      </c>
    </row>
    <row r="47" customFormat="false" ht="15" hidden="false" customHeight="false" outlineLevel="0" collapsed="false">
      <c r="A47" s="28" t="s">
        <v>1720</v>
      </c>
      <c r="B47" s="62" t="s">
        <v>1673</v>
      </c>
      <c r="C47" s="133" t="n">
        <v>0.0525</v>
      </c>
      <c r="D47" s="62" t="s">
        <v>1721</v>
      </c>
    </row>
    <row r="48" customFormat="false" ht="15" hidden="false" customHeight="false" outlineLevel="0" collapsed="false">
      <c r="A48" s="28" t="s">
        <v>1722</v>
      </c>
      <c r="B48" s="62" t="s">
        <v>1673</v>
      </c>
      <c r="C48" s="133" t="n">
        <v>0.008</v>
      </c>
      <c r="D48" s="62" t="s">
        <v>1723</v>
      </c>
    </row>
    <row r="49" customFormat="false" ht="15" hidden="false" customHeight="false" outlineLevel="0" collapsed="false">
      <c r="A49" s="28" t="s">
        <v>1724</v>
      </c>
      <c r="B49" s="62" t="s">
        <v>1673</v>
      </c>
      <c r="C49" s="133" t="n">
        <v>0.003</v>
      </c>
    </row>
    <row r="50" customFormat="false" ht="15" hidden="false" customHeight="false" outlineLevel="0" collapsed="false">
      <c r="A50" s="28" t="s">
        <v>1725</v>
      </c>
      <c r="B50" s="62" t="s">
        <v>1673</v>
      </c>
      <c r="C50" s="133" t="n">
        <v>0.005</v>
      </c>
    </row>
    <row r="51" customFormat="false" ht="15" hidden="false" customHeight="false" outlineLevel="0" collapsed="false">
      <c r="A51" s="28" t="s">
        <v>1726</v>
      </c>
      <c r="B51" s="62" t="s">
        <v>1673</v>
      </c>
      <c r="C51" s="133" t="n">
        <v>0.00016</v>
      </c>
    </row>
    <row r="52" customFormat="false" ht="15" hidden="false" customHeight="false" outlineLevel="0" collapsed="false">
      <c r="A52" s="28" t="s">
        <v>1727</v>
      </c>
      <c r="B52" s="62" t="s">
        <v>1673</v>
      </c>
      <c r="C52" s="133" t="n">
        <v>0.04</v>
      </c>
    </row>
    <row r="53" customFormat="false" ht="15" hidden="false" customHeight="false" outlineLevel="0" collapsed="false">
      <c r="A53" s="28" t="s">
        <v>1728</v>
      </c>
      <c r="B53" s="62" t="s">
        <v>1673</v>
      </c>
      <c r="C53" s="133" t="n">
        <v>0.0025</v>
      </c>
    </row>
    <row r="54" customFormat="false" ht="15" hidden="false" customHeight="false" outlineLevel="0" collapsed="false">
      <c r="A54" s="28" t="s">
        <v>1729</v>
      </c>
      <c r="B54" s="62" t="s">
        <v>1673</v>
      </c>
      <c r="C54" s="133" t="n">
        <v>0.032</v>
      </c>
      <c r="D54" s="62" t="s">
        <v>1730</v>
      </c>
    </row>
    <row r="55" customFormat="false" ht="15" hidden="false" customHeight="false" outlineLevel="0" collapsed="false">
      <c r="A55" s="28" t="s">
        <v>1731</v>
      </c>
      <c r="B55" s="62" t="s">
        <v>1673</v>
      </c>
      <c r="C55" s="133" t="n">
        <v>0.0168</v>
      </c>
      <c r="D55" s="62" t="s">
        <v>1732</v>
      </c>
    </row>
    <row r="56" customFormat="false" ht="15" hidden="false" customHeight="false" outlineLevel="0" collapsed="false">
      <c r="A56" s="28" t="s">
        <v>1733</v>
      </c>
      <c r="B56" s="62" t="s">
        <v>1673</v>
      </c>
      <c r="C56" s="133" t="n">
        <v>0.0472</v>
      </c>
      <c r="D56" s="62" t="s">
        <v>1734</v>
      </c>
    </row>
    <row r="57" customFormat="false" ht="15" hidden="false" customHeight="false" outlineLevel="0" collapsed="false">
      <c r="A57" s="28" t="s">
        <v>1735</v>
      </c>
      <c r="B57" s="62" t="s">
        <v>1673</v>
      </c>
      <c r="C57" s="133" t="n">
        <v>0.0129</v>
      </c>
    </row>
    <row r="58" customFormat="false" ht="15" hidden="false" customHeight="false" outlineLevel="0" collapsed="false">
      <c r="A58" s="28" t="s">
        <v>1736</v>
      </c>
      <c r="B58" s="62" t="s">
        <v>1673</v>
      </c>
      <c r="C58" s="133" t="n">
        <v>0.1295</v>
      </c>
      <c r="D58" s="62" t="s">
        <v>1737</v>
      </c>
    </row>
    <row r="59" customFormat="false" ht="15" hidden="false" customHeight="false" outlineLevel="0" collapsed="false">
      <c r="A59" s="28" t="s">
        <v>1738</v>
      </c>
      <c r="B59" s="62" t="s">
        <v>1673</v>
      </c>
      <c r="C59" s="133" t="n">
        <v>0.0162</v>
      </c>
    </row>
    <row r="60" customFormat="false" ht="15" hidden="false" customHeight="false" outlineLevel="0" collapsed="false">
      <c r="A60" s="28" t="s">
        <v>1739</v>
      </c>
      <c r="B60" s="62" t="s">
        <v>1673</v>
      </c>
      <c r="C60" s="133" t="n">
        <v>0.0021</v>
      </c>
      <c r="D60" s="62" t="s">
        <v>1740</v>
      </c>
    </row>
    <row r="61" customFormat="false" ht="15" hidden="false" customHeight="false" outlineLevel="0" collapsed="false">
      <c r="A61" s="28" t="s">
        <v>1741</v>
      </c>
      <c r="B61" s="62" t="s">
        <v>1673</v>
      </c>
      <c r="C61" s="133" t="n">
        <v>0.00036</v>
      </c>
      <c r="D61" s="62" t="s">
        <v>1742</v>
      </c>
    </row>
    <row r="62" customFormat="false" ht="15" hidden="false" customHeight="false" outlineLevel="0" collapsed="false">
      <c r="A62" s="28" t="s">
        <v>1743</v>
      </c>
      <c r="B62" s="62" t="s">
        <v>1673</v>
      </c>
      <c r="C62" s="133" t="n">
        <v>0.069</v>
      </c>
    </row>
    <row r="63" customFormat="false" ht="15" hidden="false" customHeight="false" outlineLevel="0" collapsed="false">
      <c r="A63" s="28" t="s">
        <v>1744</v>
      </c>
      <c r="B63" s="62" t="s">
        <v>1673</v>
      </c>
      <c r="C63" s="133" t="n">
        <v>0.004</v>
      </c>
    </row>
    <row r="64" customFormat="false" ht="15" hidden="false" customHeight="false" outlineLevel="0" collapsed="false">
      <c r="A64" s="28" t="s">
        <v>1745</v>
      </c>
      <c r="B64" s="62" t="s">
        <v>1673</v>
      </c>
      <c r="C64" s="133" t="n">
        <v>0.0315</v>
      </c>
    </row>
    <row r="65" customFormat="false" ht="15" hidden="false" customHeight="false" outlineLevel="0" collapsed="false">
      <c r="A65" s="28" t="s">
        <v>1746</v>
      </c>
      <c r="B65" s="62" t="s">
        <v>1673</v>
      </c>
      <c r="C65" s="133" t="n">
        <v>0.0086</v>
      </c>
    </row>
    <row r="66" customFormat="false" ht="15" hidden="false" customHeight="false" outlineLevel="0" collapsed="false">
      <c r="A66" s="28" t="s">
        <v>1747</v>
      </c>
      <c r="B66" s="62" t="s">
        <v>1673</v>
      </c>
      <c r="C66" s="133" t="n">
        <v>0.0864</v>
      </c>
    </row>
    <row r="67" customFormat="false" ht="15" hidden="false" customHeight="false" outlineLevel="0" collapsed="false">
      <c r="A67" s="28" t="s">
        <v>1748</v>
      </c>
      <c r="B67" s="62" t="s">
        <v>1673</v>
      </c>
      <c r="C67" s="133" t="n">
        <v>0.0108</v>
      </c>
    </row>
    <row r="68" customFormat="false" ht="15" hidden="false" customHeight="false" outlineLevel="0" collapsed="false">
      <c r="A68" s="28" t="s">
        <v>1749</v>
      </c>
      <c r="B68" s="62" t="s">
        <v>1673</v>
      </c>
      <c r="C68" s="133" t="n">
        <v>0.0014</v>
      </c>
    </row>
    <row r="69" customFormat="false" ht="15" hidden="false" customHeight="false" outlineLevel="0" collapsed="false">
      <c r="A69" s="28" t="s">
        <v>1750</v>
      </c>
      <c r="B69" s="62" t="s">
        <v>1673</v>
      </c>
      <c r="C69" s="133" t="n">
        <v>0.00024</v>
      </c>
    </row>
    <row r="70" customFormat="false" ht="15" hidden="false" customHeight="false" outlineLevel="0" collapsed="false">
      <c r="A70" s="28" t="s">
        <v>1751</v>
      </c>
      <c r="B70" s="62" t="s">
        <v>1673</v>
      </c>
      <c r="C70" s="133" t="n">
        <v>0.097</v>
      </c>
      <c r="D70" s="62" t="s">
        <v>1752</v>
      </c>
    </row>
    <row r="71" customFormat="false" ht="15" hidden="false" customHeight="false" outlineLevel="0" collapsed="false">
      <c r="A71" s="28" t="s">
        <v>1753</v>
      </c>
      <c r="B71" s="62" t="s">
        <v>1673</v>
      </c>
      <c r="C71" s="125" t="n">
        <v>0.9825</v>
      </c>
    </row>
    <row r="72" customFormat="false" ht="15" hidden="false" customHeight="false" outlineLevel="0" collapsed="false">
      <c r="A72" s="28" t="s">
        <v>1754</v>
      </c>
      <c r="B72" s="62" t="s">
        <v>1673</v>
      </c>
      <c r="C72" s="133" t="n">
        <v>0.029</v>
      </c>
    </row>
    <row r="73" customFormat="false" ht="15" hidden="false" customHeight="false" outlineLevel="0" collapsed="false">
      <c r="A73" s="28" t="s">
        <v>1755</v>
      </c>
      <c r="B73" s="62" t="s">
        <v>1756</v>
      </c>
      <c r="C73" s="134" t="n">
        <v>0.02</v>
      </c>
      <c r="D73" s="62" t="s">
        <v>1757</v>
      </c>
    </row>
    <row r="74" customFormat="false" ht="15" hidden="false" customHeight="false" outlineLevel="0" collapsed="false">
      <c r="A74" s="28" t="s">
        <v>1758</v>
      </c>
      <c r="B74" s="62" t="s">
        <v>1756</v>
      </c>
      <c r="C74" s="134" t="n">
        <v>0.3821</v>
      </c>
    </row>
    <row r="75" customFormat="false" ht="15" hidden="false" customHeight="false" outlineLevel="0" collapsed="false">
      <c r="A75" s="28" t="s">
        <v>1759</v>
      </c>
      <c r="B75" s="62" t="s">
        <v>1760</v>
      </c>
      <c r="C75" s="135" t="n">
        <v>1.75</v>
      </c>
    </row>
    <row r="76" customFormat="false" ht="15" hidden="false" customHeight="false" outlineLevel="0" collapsed="false">
      <c r="A76" s="28" t="s">
        <v>1761</v>
      </c>
      <c r="B76" s="62" t="s">
        <v>618</v>
      </c>
      <c r="C76" s="136" t="n">
        <v>4005</v>
      </c>
      <c r="D76" s="62" t="s">
        <v>1762</v>
      </c>
    </row>
    <row r="77" customFormat="false" ht="15" hidden="false" customHeight="false" outlineLevel="0" collapsed="false">
      <c r="A77" s="28" t="s">
        <v>1763</v>
      </c>
      <c r="B77" s="62" t="s">
        <v>618</v>
      </c>
      <c r="C77" s="136" t="n">
        <v>4085</v>
      </c>
      <c r="D77" s="62" t="s">
        <v>1764</v>
      </c>
    </row>
    <row r="78" customFormat="false" ht="15" hidden="false" customHeight="false" outlineLevel="0" collapsed="false">
      <c r="A78" s="28" t="s">
        <v>1765</v>
      </c>
      <c r="B78" s="62" t="s">
        <v>618</v>
      </c>
      <c r="C78" s="136" t="n">
        <v>1823.03</v>
      </c>
      <c r="D78" s="62" t="s">
        <v>1766</v>
      </c>
    </row>
    <row r="79" customFormat="false" ht="15" hidden="false" customHeight="false" outlineLevel="0" collapsed="false">
      <c r="A79" s="28" t="s">
        <v>1767</v>
      </c>
      <c r="B79" s="62" t="s">
        <v>618</v>
      </c>
      <c r="C79" s="136" t="n">
        <v>1867.02</v>
      </c>
    </row>
    <row r="80" customFormat="false" ht="15" hidden="false" customHeight="false" outlineLevel="0" collapsed="false">
      <c r="A80" s="28" t="s">
        <v>1768</v>
      </c>
      <c r="B80" s="62" t="s">
        <v>618</v>
      </c>
      <c r="C80" s="136" t="n">
        <v>1900.63</v>
      </c>
      <c r="D80" s="62" t="s">
        <v>1769</v>
      </c>
    </row>
    <row r="81" customFormat="false" ht="15" hidden="false" customHeight="false" outlineLevel="0" collapsed="false">
      <c r="A81" s="28" t="s">
        <v>1770</v>
      </c>
      <c r="B81" s="62" t="s">
        <v>618</v>
      </c>
      <c r="C81" s="107" t="n">
        <v>110</v>
      </c>
      <c r="D81" s="62" t="s">
        <v>1771</v>
      </c>
    </row>
    <row r="82" customFormat="false" ht="15" hidden="false" customHeight="false" outlineLevel="0" collapsed="false">
      <c r="A82" s="28" t="s">
        <v>1772</v>
      </c>
      <c r="D82" s="62" t="s">
        <v>1773</v>
      </c>
    </row>
    <row r="83" customFormat="false" ht="15" hidden="false" customHeight="false" outlineLevel="0" collapsed="false">
      <c r="A83" s="28" t="s">
        <v>1774</v>
      </c>
      <c r="B83" s="62" t="s">
        <v>1775</v>
      </c>
      <c r="C83" s="126" t="n">
        <v>25</v>
      </c>
      <c r="D83" s="62" t="s">
        <v>1776</v>
      </c>
    </row>
    <row r="84" customFormat="false" ht="15" hidden="false" customHeight="false" outlineLevel="0" collapsed="false">
      <c r="A84" s="28" t="s">
        <v>1777</v>
      </c>
      <c r="B84" s="62" t="s">
        <v>1775</v>
      </c>
      <c r="C84" s="135" t="n">
        <v>21.67</v>
      </c>
    </row>
    <row r="86" customFormat="false" ht="15" hidden="false" customHeight="false" outlineLevel="0" collapsed="false">
      <c r="A86" s="22" t="s">
        <v>1778</v>
      </c>
      <c r="B86" s="23"/>
      <c r="C86" s="23"/>
      <c r="D86" s="23"/>
      <c r="E86" s="23"/>
      <c r="F86" s="23"/>
      <c r="G86" s="23"/>
      <c r="H86" s="23"/>
    </row>
    <row r="87" customFormat="false" ht="42" hidden="false" customHeight="true" outlineLevel="0" collapsed="false">
      <c r="A87" s="26" t="s">
        <v>1779</v>
      </c>
      <c r="B87" s="27" t="s">
        <v>1566</v>
      </c>
      <c r="C87" s="27" t="s">
        <v>1780</v>
      </c>
      <c r="D87" s="27" t="s">
        <v>1781</v>
      </c>
      <c r="E87" s="27" t="s">
        <v>1782</v>
      </c>
      <c r="F87" s="27" t="s">
        <v>1783</v>
      </c>
      <c r="G87" s="27" t="s">
        <v>1784</v>
      </c>
      <c r="H87" s="27" t="s">
        <v>1785</v>
      </c>
    </row>
    <row r="88" customFormat="false" ht="15" hidden="false" customHeight="false" outlineLevel="0" collapsed="false">
      <c r="A88" s="0" t="s">
        <v>1102</v>
      </c>
      <c r="B88" s="0" t="s">
        <v>1786</v>
      </c>
      <c r="C88" s="0" t="s">
        <v>1787</v>
      </c>
      <c r="D88" s="107" t="n">
        <v>98000</v>
      </c>
      <c r="E88" s="125" t="n">
        <v>0.14</v>
      </c>
      <c r="F88" s="126" t="n">
        <v>7</v>
      </c>
      <c r="G88" s="125" t="n">
        <v>0.9</v>
      </c>
    </row>
    <row r="89" customFormat="false" ht="15" hidden="false" customHeight="false" outlineLevel="0" collapsed="false">
      <c r="A89" s="0" t="s">
        <v>1104</v>
      </c>
      <c r="B89" s="0" t="s">
        <v>1788</v>
      </c>
      <c r="C89" s="0" t="s">
        <v>1787</v>
      </c>
      <c r="D89" s="107" t="n">
        <v>78000</v>
      </c>
      <c r="E89" s="125" t="n">
        <v>0.12</v>
      </c>
      <c r="F89" s="126" t="n">
        <v>10</v>
      </c>
      <c r="G89" s="125" t="n">
        <v>0.7</v>
      </c>
    </row>
    <row r="90" customFormat="false" ht="15" hidden="false" customHeight="false" outlineLevel="0" collapsed="false">
      <c r="A90" s="0" t="s">
        <v>1105</v>
      </c>
      <c r="B90" s="0" t="s">
        <v>1789</v>
      </c>
      <c r="C90" s="0" t="s">
        <v>1787</v>
      </c>
      <c r="D90" s="107" t="n">
        <v>70000</v>
      </c>
      <c r="E90" s="125" t="n">
        <v>0.11</v>
      </c>
      <c r="F90" s="126" t="n">
        <v>13</v>
      </c>
      <c r="G90" s="125" t="n">
        <v>0.35</v>
      </c>
    </row>
    <row r="91" customFormat="false" ht="15" hidden="false" customHeight="false" outlineLevel="0" collapsed="false">
      <c r="A91" s="0" t="s">
        <v>1106</v>
      </c>
      <c r="B91" s="0" t="s">
        <v>1790</v>
      </c>
      <c r="C91" s="0" t="s">
        <v>1787</v>
      </c>
      <c r="D91" s="107" t="n">
        <v>125000</v>
      </c>
      <c r="E91" s="125" t="n">
        <v>0.18</v>
      </c>
      <c r="F91" s="126" t="n">
        <v>3</v>
      </c>
      <c r="G91" s="125" t="n">
        <v>0.4</v>
      </c>
    </row>
    <row r="92" customFormat="false" ht="15" hidden="false" customHeight="false" outlineLevel="0" collapsed="false">
      <c r="A92" s="0" t="s">
        <v>1107</v>
      </c>
      <c r="B92" s="0" t="s">
        <v>1791</v>
      </c>
      <c r="C92" s="0" t="s">
        <v>1787</v>
      </c>
      <c r="D92" s="107" t="n">
        <v>72000</v>
      </c>
      <c r="E92" s="125" t="n">
        <v>0.11</v>
      </c>
      <c r="F92" s="126" t="n">
        <v>6</v>
      </c>
      <c r="G92" s="125" t="n">
        <v>0.1</v>
      </c>
    </row>
    <row r="93" customFormat="false" ht="15" hidden="false" customHeight="false" outlineLevel="0" collapsed="false">
      <c r="A93" s="0" t="s">
        <v>1108</v>
      </c>
      <c r="B93" s="0" t="s">
        <v>1792</v>
      </c>
      <c r="C93" s="0" t="s">
        <v>1793</v>
      </c>
      <c r="D93" s="107" t="n">
        <v>52000</v>
      </c>
      <c r="E93" s="125" t="n">
        <v>0.08</v>
      </c>
      <c r="F93" s="126" t="n">
        <v>6</v>
      </c>
      <c r="G93" s="125" t="n">
        <v>0</v>
      </c>
    </row>
    <row r="94" customFormat="false" ht="15" hidden="false" customHeight="false" outlineLevel="0" collapsed="false">
      <c r="A94" s="0" t="s">
        <v>1109</v>
      </c>
      <c r="B94" s="0" t="s">
        <v>1794</v>
      </c>
      <c r="C94" s="0" t="s">
        <v>1793</v>
      </c>
      <c r="D94" s="107" t="n">
        <v>56000</v>
      </c>
      <c r="E94" s="125" t="n">
        <v>0.09</v>
      </c>
      <c r="F94" s="126" t="n">
        <v>4</v>
      </c>
      <c r="G94" s="125" t="n">
        <v>0</v>
      </c>
    </row>
    <row r="95" customFormat="false" ht="15" hidden="false" customHeight="false" outlineLevel="0" collapsed="false">
      <c r="A95" s="0" t="s">
        <v>1110</v>
      </c>
      <c r="B95" s="0" t="s">
        <v>1795</v>
      </c>
      <c r="C95" s="0" t="s">
        <v>1796</v>
      </c>
      <c r="D95" s="107" t="n">
        <v>130000</v>
      </c>
      <c r="E95" s="125" t="n">
        <v>0.18</v>
      </c>
      <c r="F95" s="126" t="n">
        <v>1</v>
      </c>
      <c r="G95" s="125" t="n">
        <v>0</v>
      </c>
    </row>
    <row r="96" customFormat="false" ht="15" hidden="false" customHeight="false" outlineLevel="0" collapsed="false">
      <c r="A96" s="0" t="s">
        <v>1111</v>
      </c>
      <c r="B96" s="0" t="s">
        <v>1797</v>
      </c>
      <c r="C96" s="0" t="s">
        <v>1796</v>
      </c>
      <c r="D96" s="107" t="n">
        <v>76000</v>
      </c>
      <c r="E96" s="125" t="n">
        <v>0.12</v>
      </c>
      <c r="F96" s="126" t="n">
        <v>5</v>
      </c>
      <c r="G96" s="125" t="n">
        <v>0</v>
      </c>
    </row>
    <row r="97" customFormat="false" ht="15" hidden="false" customHeight="false" outlineLevel="0" collapsed="false">
      <c r="A97" s="0" t="s">
        <v>1112</v>
      </c>
      <c r="B97" s="0" t="s">
        <v>1798</v>
      </c>
      <c r="C97" s="0" t="s">
        <v>1796</v>
      </c>
      <c r="D97" s="107" t="n">
        <v>40000</v>
      </c>
      <c r="E97" s="125" t="n">
        <v>0.06</v>
      </c>
      <c r="F97" s="126" t="n">
        <v>4</v>
      </c>
      <c r="G97" s="125" t="n">
        <v>0</v>
      </c>
    </row>
    <row r="98" customFormat="false" ht="15" hidden="false" customHeight="false" outlineLevel="0" collapsed="false">
      <c r="A98" s="0" t="s">
        <v>1113</v>
      </c>
      <c r="B98" s="0" t="s">
        <v>1799</v>
      </c>
      <c r="C98" s="0" t="s">
        <v>1796</v>
      </c>
      <c r="D98" s="107" t="n">
        <v>58000</v>
      </c>
      <c r="E98" s="125" t="n">
        <v>0.09</v>
      </c>
      <c r="F98" s="126" t="n">
        <v>4</v>
      </c>
      <c r="G98" s="125" t="n">
        <v>0</v>
      </c>
    </row>
    <row r="99" customFormat="false" ht="15" hidden="false" customHeight="false" outlineLevel="0" collapsed="false">
      <c r="A99" s="0" t="s">
        <v>1114</v>
      </c>
      <c r="B99" s="0" t="s">
        <v>1800</v>
      </c>
      <c r="C99" s="0" t="s">
        <v>1801</v>
      </c>
      <c r="D99" s="107" t="n">
        <v>140000</v>
      </c>
      <c r="E99" s="125" t="n">
        <v>0.2</v>
      </c>
      <c r="F99" s="126" t="n">
        <v>2</v>
      </c>
      <c r="G99" s="125" t="n">
        <v>0</v>
      </c>
    </row>
    <row r="100" customFormat="false" ht="15" hidden="false" customHeight="false" outlineLevel="0" collapsed="false">
      <c r="A100" s="0" t="s">
        <v>1115</v>
      </c>
      <c r="B100" s="0" t="s">
        <v>1801</v>
      </c>
      <c r="C100" s="0" t="s">
        <v>1801</v>
      </c>
      <c r="D100" s="107" t="n">
        <v>50000</v>
      </c>
      <c r="E100" s="125" t="n">
        <v>0.08</v>
      </c>
      <c r="F100" s="126" t="n">
        <v>5</v>
      </c>
      <c r="G100" s="125" t="n">
        <v>0</v>
      </c>
    </row>
    <row r="101" customFormat="false" ht="15" hidden="false" customHeight="false" outlineLevel="0" collapsed="false">
      <c r="A101" s="62" t="s">
        <v>1802</v>
      </c>
    </row>
    <row r="102" customFormat="false" ht="15" hidden="false" customHeight="false" outlineLevel="0" collapsed="false">
      <c r="A102" s="28" t="s">
        <v>1803</v>
      </c>
      <c r="B102" s="62" t="s">
        <v>1673</v>
      </c>
      <c r="C102" s="125" t="n">
        <v>0.1</v>
      </c>
      <c r="D102" s="62" t="s">
        <v>1804</v>
      </c>
    </row>
    <row r="103" customFormat="false" ht="15" hidden="false" customHeight="false" outlineLevel="0" collapsed="false">
      <c r="A103" s="28" t="s">
        <v>1805</v>
      </c>
      <c r="B103" s="62" t="s">
        <v>1673</v>
      </c>
      <c r="C103" s="125" t="n">
        <v>0.15</v>
      </c>
    </row>
    <row r="104" customFormat="false" ht="15" hidden="false" customHeight="false" outlineLevel="0" collapsed="false">
      <c r="A104" s="28" t="s">
        <v>1806</v>
      </c>
      <c r="B104" s="62" t="s">
        <v>1673</v>
      </c>
      <c r="C104" s="125" t="n">
        <v>0.2</v>
      </c>
    </row>
    <row r="105" customFormat="false" ht="15" hidden="false" customHeight="false" outlineLevel="0" collapsed="false">
      <c r="A105" s="28" t="s">
        <v>1807</v>
      </c>
      <c r="B105" s="62" t="s">
        <v>1673</v>
      </c>
      <c r="C105" s="125" t="n">
        <v>0.08</v>
      </c>
    </row>
    <row r="106" customFormat="false" ht="15" hidden="false" customHeight="false" outlineLevel="0" collapsed="false">
      <c r="A106" s="28" t="s">
        <v>1808</v>
      </c>
      <c r="B106" s="62" t="s">
        <v>618</v>
      </c>
      <c r="C106" s="107" t="n">
        <v>2400</v>
      </c>
    </row>
    <row r="107" customFormat="false" ht="15" hidden="false" customHeight="false" outlineLevel="0" collapsed="false">
      <c r="A107" s="28" t="s">
        <v>1809</v>
      </c>
      <c r="B107" s="62" t="s">
        <v>618</v>
      </c>
      <c r="C107" s="107" t="n">
        <v>2500</v>
      </c>
    </row>
    <row r="108" customFormat="false" ht="15" hidden="false" customHeight="false" outlineLevel="0" collapsed="false">
      <c r="A108" s="28" t="s">
        <v>1810</v>
      </c>
      <c r="B108" s="62" t="s">
        <v>618</v>
      </c>
      <c r="C108" s="107" t="n">
        <v>7500</v>
      </c>
    </row>
    <row r="109" customFormat="false" ht="15" hidden="false" customHeight="false" outlineLevel="0" collapsed="false">
      <c r="A109" s="28" t="s">
        <v>1811</v>
      </c>
      <c r="B109" s="62" t="s">
        <v>618</v>
      </c>
      <c r="C109" s="107" t="n">
        <v>240</v>
      </c>
    </row>
    <row r="110" customFormat="false" ht="15" hidden="false" customHeight="false" outlineLevel="0" collapsed="false">
      <c r="A110" s="28" t="s">
        <v>1812</v>
      </c>
      <c r="B110" s="62" t="s">
        <v>1673</v>
      </c>
      <c r="C110" s="125" t="n">
        <v>0.06</v>
      </c>
      <c r="D110" s="62" t="s">
        <v>1813</v>
      </c>
    </row>
    <row r="112" customFormat="false" ht="15" hidden="false" customHeight="false" outlineLevel="0" collapsed="false">
      <c r="A112" s="22" t="s">
        <v>1814</v>
      </c>
      <c r="B112" s="23"/>
      <c r="C112" s="23"/>
      <c r="D112" s="23"/>
      <c r="E112" s="23"/>
      <c r="F112" s="23"/>
      <c r="G112" s="23"/>
      <c r="H112" s="23"/>
    </row>
    <row r="113" customFormat="false" ht="15" hidden="false" customHeight="false" outlineLevel="0" collapsed="false">
      <c r="A113" s="28" t="s">
        <v>1815</v>
      </c>
      <c r="B113" s="62" t="s">
        <v>618</v>
      </c>
      <c r="C113" s="136" t="n">
        <v>12</v>
      </c>
      <c r="D113" s="62" t="s">
        <v>1816</v>
      </c>
    </row>
    <row r="114" customFormat="false" ht="15" hidden="false" customHeight="false" outlineLevel="0" collapsed="false">
      <c r="A114" s="28" t="s">
        <v>1817</v>
      </c>
      <c r="B114" s="62" t="s">
        <v>618</v>
      </c>
      <c r="C114" s="136" t="n">
        <v>9</v>
      </c>
    </row>
    <row r="115" customFormat="false" ht="15" hidden="false" customHeight="false" outlineLevel="0" collapsed="false">
      <c r="A115" s="28" t="s">
        <v>1818</v>
      </c>
      <c r="B115" s="62" t="s">
        <v>618</v>
      </c>
      <c r="C115" s="136" t="n">
        <v>20</v>
      </c>
    </row>
    <row r="116" customFormat="false" ht="15" hidden="false" customHeight="false" outlineLevel="0" collapsed="false">
      <c r="A116" s="28" t="s">
        <v>1819</v>
      </c>
      <c r="B116" s="62" t="s">
        <v>618</v>
      </c>
      <c r="C116" s="136" t="n">
        <v>11.04</v>
      </c>
      <c r="D116" s="62" t="s">
        <v>1820</v>
      </c>
    </row>
    <row r="117" customFormat="false" ht="15" hidden="false" customHeight="false" outlineLevel="0" collapsed="false">
      <c r="A117" s="28" t="s">
        <v>1821</v>
      </c>
      <c r="B117" s="62" t="s">
        <v>618</v>
      </c>
      <c r="C117" s="136" t="n">
        <v>8.28</v>
      </c>
    </row>
    <row r="118" customFormat="false" ht="15" hidden="false" customHeight="false" outlineLevel="0" collapsed="false">
      <c r="A118" s="28" t="s">
        <v>1822</v>
      </c>
      <c r="B118" s="62" t="s">
        <v>618</v>
      </c>
      <c r="C118" s="136" t="n">
        <v>18.4</v>
      </c>
    </row>
    <row r="119" customFormat="false" ht="15" hidden="false" customHeight="false" outlineLevel="0" collapsed="false">
      <c r="A119" s="28" t="s">
        <v>1823</v>
      </c>
      <c r="B119" s="62" t="s">
        <v>1680</v>
      </c>
      <c r="C119" s="125" t="n">
        <v>0.12</v>
      </c>
      <c r="D119" s="62" t="s">
        <v>1824</v>
      </c>
    </row>
    <row r="120" customFormat="false" ht="30" hidden="false" customHeight="true" outlineLevel="0" collapsed="false">
      <c r="A120" s="26" t="s">
        <v>1825</v>
      </c>
      <c r="B120" s="27" t="s">
        <v>1826</v>
      </c>
      <c r="C120" s="27" t="s">
        <v>1827</v>
      </c>
      <c r="D120" s="27" t="s">
        <v>1828</v>
      </c>
      <c r="E120" s="27" t="s">
        <v>1829</v>
      </c>
      <c r="F120" s="27" t="s">
        <v>1830</v>
      </c>
      <c r="G120" s="27" t="s">
        <v>1831</v>
      </c>
      <c r="H120" s="27" t="s">
        <v>1832</v>
      </c>
    </row>
    <row r="121" customFormat="false" ht="15" hidden="false" customHeight="false" outlineLevel="0" collapsed="false">
      <c r="A121" s="0" t="s">
        <v>1833</v>
      </c>
      <c r="B121" s="125" t="n">
        <v>0.21</v>
      </c>
      <c r="C121" s="125" t="n">
        <v>0.17</v>
      </c>
      <c r="D121" s="125" t="n">
        <v>0.12</v>
      </c>
      <c r="E121" s="125" t="n">
        <v>0.09</v>
      </c>
      <c r="F121" s="125" t="n">
        <v>0.07</v>
      </c>
      <c r="G121" s="125" t="n">
        <v>0.055</v>
      </c>
      <c r="H121" s="125" t="n">
        <v>0.045</v>
      </c>
    </row>
    <row r="122" customFormat="false" ht="15" hidden="false" customHeight="false" outlineLevel="0" collapsed="false">
      <c r="A122" s="42"/>
      <c r="B122" s="43" t="s">
        <v>1834</v>
      </c>
      <c r="C122" s="43" t="s">
        <v>1835</v>
      </c>
      <c r="D122" s="43" t="s">
        <v>1836</v>
      </c>
      <c r="E122" s="43" t="s">
        <v>1837</v>
      </c>
      <c r="F122" s="43" t="s">
        <v>1838</v>
      </c>
    </row>
    <row r="123" customFormat="false" ht="15" hidden="false" customHeight="false" outlineLevel="0" collapsed="false">
      <c r="A123" s="0" t="s">
        <v>1839</v>
      </c>
      <c r="B123" s="125" t="n">
        <v>0.035</v>
      </c>
      <c r="C123" s="125" t="n">
        <v>0.028</v>
      </c>
      <c r="D123" s="125" t="n">
        <v>0.022</v>
      </c>
      <c r="E123" s="125" t="n">
        <v>0.018</v>
      </c>
      <c r="F123" s="125" t="n">
        <v>0.017</v>
      </c>
    </row>
    <row r="124" customFormat="false" ht="15" hidden="false" customHeight="false" outlineLevel="0" collapsed="false">
      <c r="A124" s="28" t="s">
        <v>1840</v>
      </c>
      <c r="B124" s="62" t="s">
        <v>1662</v>
      </c>
      <c r="C124" s="37" t="n">
        <f aca="false">Assumptions!$B$121+Assumptions!$C$121+Assumptions!$D$121+Assumptions!$E$121+Assumptions!$F$121+Assumptions!$G$121+Assumptions!$H$121+Assumptions!$B$123+Assumptions!$C$123+Assumptions!$D$123+Assumptions!$E$123+Assumptions!$F$123</f>
        <v>0.88</v>
      </c>
    </row>
    <row r="125" customFormat="false" ht="15" hidden="false" customHeight="false" outlineLevel="0" collapsed="false">
      <c r="A125" s="28" t="s">
        <v>1841</v>
      </c>
      <c r="B125" s="62" t="s">
        <v>1680</v>
      </c>
      <c r="C125" s="125" t="n">
        <v>0.5</v>
      </c>
      <c r="D125" s="62" t="s">
        <v>1842</v>
      </c>
    </row>
    <row r="126" customFormat="false" ht="15" hidden="false" customHeight="false" outlineLevel="0" collapsed="false">
      <c r="A126" s="28" t="s">
        <v>1843</v>
      </c>
      <c r="B126" s="62" t="s">
        <v>1680</v>
      </c>
      <c r="C126" s="125" t="n">
        <v>0.3</v>
      </c>
    </row>
    <row r="127" customFormat="false" ht="15" hidden="false" customHeight="false" outlineLevel="0" collapsed="false">
      <c r="A127" s="28" t="s">
        <v>1844</v>
      </c>
      <c r="B127" s="62" t="s">
        <v>1680</v>
      </c>
      <c r="C127" s="125" t="n">
        <v>0.2</v>
      </c>
    </row>
    <row r="128" customFormat="false" ht="15" hidden="false" customHeight="false" outlineLevel="0" collapsed="false">
      <c r="A128" s="28" t="s">
        <v>1845</v>
      </c>
      <c r="B128" s="62" t="s">
        <v>618</v>
      </c>
      <c r="C128" s="107" t="n">
        <v>101109</v>
      </c>
      <c r="D128" s="62" t="s">
        <v>1846</v>
      </c>
    </row>
    <row r="129" customFormat="false" ht="15" hidden="false" customHeight="false" outlineLevel="0" collapsed="false">
      <c r="A129" s="28" t="s">
        <v>1847</v>
      </c>
      <c r="B129" s="62" t="s">
        <v>618</v>
      </c>
      <c r="C129" s="107" t="n">
        <v>150</v>
      </c>
    </row>
    <row r="130" customFormat="false" ht="15" hidden="false" customHeight="false" outlineLevel="0" collapsed="false">
      <c r="A130" s="28" t="s">
        <v>1848</v>
      </c>
      <c r="B130" s="62" t="s">
        <v>1849</v>
      </c>
      <c r="C130" s="137" t="n">
        <v>14.9</v>
      </c>
      <c r="D130" s="62" t="s">
        <v>1850</v>
      </c>
    </row>
    <row r="131" customFormat="false" ht="15" hidden="false" customHeight="false" outlineLevel="0" collapsed="false">
      <c r="A131" s="28" t="s">
        <v>1851</v>
      </c>
      <c r="B131" s="62" t="s">
        <v>1673</v>
      </c>
      <c r="C131" s="133" t="n">
        <v>0.024</v>
      </c>
      <c r="D131" s="62" t="s">
        <v>1852</v>
      </c>
    </row>
    <row r="132" customFormat="false" ht="15" hidden="false" customHeight="false" outlineLevel="0" collapsed="false">
      <c r="A132" s="28" t="s">
        <v>1853</v>
      </c>
      <c r="B132" s="62" t="s">
        <v>1673</v>
      </c>
      <c r="C132" s="133" t="n">
        <v>0.002</v>
      </c>
      <c r="D132" s="62" t="s">
        <v>1854</v>
      </c>
    </row>
    <row r="133" customFormat="false" ht="15" hidden="false" customHeight="false" outlineLevel="0" collapsed="false">
      <c r="A133" s="28" t="s">
        <v>1855</v>
      </c>
      <c r="B133" s="62" t="s">
        <v>1680</v>
      </c>
      <c r="C133" s="125" t="n">
        <v>0.85</v>
      </c>
      <c r="D133" s="62" t="s">
        <v>1856</v>
      </c>
    </row>
    <row r="134" customFormat="false" ht="15" hidden="false" customHeight="false" outlineLevel="0" collapsed="false">
      <c r="A134" s="28" t="s">
        <v>1857</v>
      </c>
      <c r="B134" s="62" t="s">
        <v>1680</v>
      </c>
      <c r="C134" s="125" t="n">
        <v>0.4</v>
      </c>
    </row>
    <row r="135" customFormat="false" ht="15" hidden="false" customHeight="false" outlineLevel="0" collapsed="false">
      <c r="A135" s="28" t="s">
        <v>1858</v>
      </c>
      <c r="B135" s="62" t="s">
        <v>1680</v>
      </c>
      <c r="C135" s="125" t="n">
        <v>0.25</v>
      </c>
    </row>
    <row r="136" customFormat="false" ht="15" hidden="false" customHeight="false" outlineLevel="0" collapsed="false">
      <c r="A136" s="28" t="s">
        <v>1859</v>
      </c>
      <c r="B136" s="62" t="s">
        <v>1680</v>
      </c>
      <c r="C136" s="125" t="n">
        <v>0.35</v>
      </c>
    </row>
    <row r="137" customFormat="false" ht="15" hidden="false" customHeight="false" outlineLevel="0" collapsed="false">
      <c r="A137" s="28" t="s">
        <v>1860</v>
      </c>
      <c r="B137" s="62" t="s">
        <v>1861</v>
      </c>
      <c r="C137" s="125" t="n">
        <v>0.92</v>
      </c>
    </row>
    <row r="138" customFormat="false" ht="15" hidden="false" customHeight="false" outlineLevel="0" collapsed="false">
      <c r="A138" s="28" t="s">
        <v>1862</v>
      </c>
      <c r="B138" s="62" t="s">
        <v>1775</v>
      </c>
      <c r="C138" s="126" t="n">
        <v>50</v>
      </c>
      <c r="D138" s="62" t="s">
        <v>1863</v>
      </c>
    </row>
    <row r="139" customFormat="false" ht="15" hidden="false" customHeight="false" outlineLevel="0" collapsed="false">
      <c r="A139" s="28" t="s">
        <v>1864</v>
      </c>
      <c r="B139" s="62" t="s">
        <v>618</v>
      </c>
      <c r="C139" s="136" t="n">
        <v>18071.21</v>
      </c>
      <c r="D139" s="62" t="s">
        <v>1865</v>
      </c>
    </row>
    <row r="140" customFormat="false" ht="15" hidden="false" customHeight="false" outlineLevel="0" collapsed="false">
      <c r="A140" s="28" t="s">
        <v>1866</v>
      </c>
      <c r="B140" s="62" t="s">
        <v>618</v>
      </c>
      <c r="C140" s="136" t="n">
        <v>15059.34</v>
      </c>
    </row>
    <row r="141" customFormat="false" ht="15" hidden="false" customHeight="false" outlineLevel="0" collapsed="false">
      <c r="A141" s="28" t="s">
        <v>1867</v>
      </c>
      <c r="B141" s="62" t="s">
        <v>1680</v>
      </c>
      <c r="C141" s="125" t="n">
        <v>0.3</v>
      </c>
      <c r="D141" s="62" t="s">
        <v>1868</v>
      </c>
    </row>
    <row r="143" customFormat="false" ht="15" hidden="false" customHeight="false" outlineLevel="0" collapsed="false">
      <c r="A143" s="22" t="s">
        <v>1869</v>
      </c>
      <c r="B143" s="23"/>
      <c r="C143" s="23"/>
      <c r="D143" s="23"/>
      <c r="E143" s="23"/>
      <c r="F143" s="23"/>
      <c r="G143" s="23"/>
      <c r="H143" s="23"/>
    </row>
    <row r="144" customFormat="false" ht="15" hidden="false" customHeight="false" outlineLevel="0" collapsed="false">
      <c r="A144" s="28" t="s">
        <v>1870</v>
      </c>
      <c r="B144" s="62" t="s">
        <v>1871</v>
      </c>
      <c r="C144" s="138" t="n">
        <v>0.18</v>
      </c>
      <c r="D144" s="62" t="s">
        <v>1872</v>
      </c>
    </row>
    <row r="145" customFormat="false" ht="15" hidden="false" customHeight="false" outlineLevel="0" collapsed="false">
      <c r="A145" s="28" t="s">
        <v>1873</v>
      </c>
      <c r="B145" s="62" t="s">
        <v>1871</v>
      </c>
      <c r="C145" s="138" t="n">
        <v>0.22</v>
      </c>
    </row>
    <row r="146" customFormat="false" ht="15" hidden="false" customHeight="false" outlineLevel="0" collapsed="false">
      <c r="A146" s="28" t="s">
        <v>1874</v>
      </c>
      <c r="B146" s="62" t="s">
        <v>1871</v>
      </c>
      <c r="C146" s="138" t="n">
        <v>0.02</v>
      </c>
    </row>
    <row r="147" customFormat="false" ht="15" hidden="false" customHeight="false" outlineLevel="0" collapsed="false">
      <c r="A147" s="28" t="s">
        <v>1875</v>
      </c>
      <c r="B147" s="62" t="s">
        <v>1876</v>
      </c>
      <c r="C147" s="135" t="n">
        <v>0.25</v>
      </c>
      <c r="D147" s="62" t="s">
        <v>1877</v>
      </c>
    </row>
    <row r="148" customFormat="false" ht="15" hidden="false" customHeight="false" outlineLevel="0" collapsed="false">
      <c r="A148" s="28" t="s">
        <v>1878</v>
      </c>
      <c r="B148" s="62" t="s">
        <v>1876</v>
      </c>
      <c r="C148" s="135" t="n">
        <v>1.2</v>
      </c>
    </row>
    <row r="149" customFormat="false" ht="15" hidden="false" customHeight="false" outlineLevel="0" collapsed="false">
      <c r="A149" s="28" t="s">
        <v>1879</v>
      </c>
      <c r="B149" s="62" t="s">
        <v>1876</v>
      </c>
      <c r="C149" s="135" t="n">
        <v>3</v>
      </c>
    </row>
    <row r="150" customFormat="false" ht="15" hidden="false" customHeight="false" outlineLevel="0" collapsed="false">
      <c r="A150" s="28" t="s">
        <v>1880</v>
      </c>
      <c r="B150" s="62" t="s">
        <v>1881</v>
      </c>
      <c r="C150" s="136" t="n">
        <v>2</v>
      </c>
      <c r="D150" s="62" t="s">
        <v>1882</v>
      </c>
    </row>
    <row r="151" customFormat="false" ht="15" hidden="false" customHeight="false" outlineLevel="0" collapsed="false">
      <c r="A151" s="28" t="s">
        <v>1883</v>
      </c>
      <c r="B151" s="62" t="s">
        <v>618</v>
      </c>
      <c r="C151" s="136" t="n">
        <v>1.6</v>
      </c>
      <c r="D151" s="62" t="s">
        <v>1884</v>
      </c>
    </row>
    <row r="152" customFormat="false" ht="15" hidden="false" customHeight="false" outlineLevel="0" collapsed="false">
      <c r="A152" s="28" t="s">
        <v>1885</v>
      </c>
      <c r="B152" s="62" t="s">
        <v>1881</v>
      </c>
      <c r="C152" s="107" t="n">
        <v>18000</v>
      </c>
      <c r="D152" s="62" t="s">
        <v>1886</v>
      </c>
    </row>
    <row r="153" customFormat="false" ht="15" hidden="false" customHeight="false" outlineLevel="0" collapsed="false">
      <c r="A153" s="28" t="s">
        <v>1887</v>
      </c>
      <c r="B153" s="62" t="s">
        <v>1881</v>
      </c>
      <c r="C153" s="136" t="n">
        <v>0.35</v>
      </c>
    </row>
    <row r="154" customFormat="false" ht="15" hidden="false" customHeight="false" outlineLevel="0" collapsed="false">
      <c r="A154" s="28" t="s">
        <v>1888</v>
      </c>
      <c r="B154" s="62" t="s">
        <v>1881</v>
      </c>
      <c r="C154" s="136" t="n">
        <v>0.25</v>
      </c>
    </row>
    <row r="155" customFormat="false" ht="15" hidden="false" customHeight="false" outlineLevel="0" collapsed="false">
      <c r="A155" s="28" t="s">
        <v>1889</v>
      </c>
      <c r="B155" s="62" t="s">
        <v>1881</v>
      </c>
      <c r="C155" s="136" t="n">
        <v>0.1</v>
      </c>
    </row>
    <row r="156" customFormat="false" ht="15" hidden="false" customHeight="false" outlineLevel="0" collapsed="false">
      <c r="A156" s="28" t="s">
        <v>1890</v>
      </c>
      <c r="B156" s="62" t="s">
        <v>1881</v>
      </c>
      <c r="C156" s="136" t="n">
        <v>1.95</v>
      </c>
      <c r="D156" s="62" t="s">
        <v>1891</v>
      </c>
    </row>
    <row r="157" customFormat="false" ht="15" hidden="false" customHeight="false" outlineLevel="0" collapsed="false">
      <c r="A157" s="28" t="s">
        <v>1892</v>
      </c>
      <c r="B157" s="62" t="s">
        <v>1881</v>
      </c>
      <c r="C157" s="136" t="n">
        <v>3.4</v>
      </c>
      <c r="D157" s="62" t="s">
        <v>1893</v>
      </c>
    </row>
    <row r="158" customFormat="false" ht="15" hidden="false" customHeight="false" outlineLevel="0" collapsed="false">
      <c r="A158" s="28" t="s">
        <v>1894</v>
      </c>
      <c r="B158" s="62" t="s">
        <v>1680</v>
      </c>
      <c r="C158" s="125" t="n">
        <v>0.85</v>
      </c>
    </row>
    <row r="159" customFormat="false" ht="15" hidden="false" customHeight="false" outlineLevel="0" collapsed="false">
      <c r="A159" s="28" t="s">
        <v>1895</v>
      </c>
      <c r="B159" s="62" t="s">
        <v>1896</v>
      </c>
      <c r="C159" s="126" t="n">
        <v>16</v>
      </c>
      <c r="D159" s="62" t="s">
        <v>1897</v>
      </c>
    </row>
    <row r="160" customFormat="false" ht="15" hidden="false" customHeight="false" outlineLevel="0" collapsed="false">
      <c r="A160" s="28" t="s">
        <v>1898</v>
      </c>
      <c r="B160" s="62" t="s">
        <v>1871</v>
      </c>
      <c r="C160" s="107" t="n">
        <v>2000</v>
      </c>
      <c r="D160" s="62" t="s">
        <v>1899</v>
      </c>
    </row>
    <row r="161" customFormat="false" ht="15" hidden="false" customHeight="false" outlineLevel="0" collapsed="false">
      <c r="A161" s="28" t="s">
        <v>1900</v>
      </c>
      <c r="B161" s="62" t="s">
        <v>1881</v>
      </c>
      <c r="C161" s="107" t="n">
        <v>520000</v>
      </c>
      <c r="D161" s="62" t="s">
        <v>1901</v>
      </c>
    </row>
    <row r="162" customFormat="false" ht="15" hidden="false" customHeight="false" outlineLevel="0" collapsed="false">
      <c r="A162" s="28" t="s">
        <v>1902</v>
      </c>
      <c r="B162" s="62" t="s">
        <v>1881</v>
      </c>
      <c r="C162" s="107" t="n">
        <v>780000</v>
      </c>
      <c r="D162" s="62" t="s">
        <v>1903</v>
      </c>
    </row>
    <row r="164" customFormat="false" ht="15" hidden="false" customHeight="false" outlineLevel="0" collapsed="false">
      <c r="A164" s="22" t="s">
        <v>1904</v>
      </c>
      <c r="B164" s="23"/>
      <c r="C164" s="23"/>
      <c r="D164" s="23"/>
      <c r="E164" s="23"/>
      <c r="F164" s="23"/>
      <c r="G164" s="23"/>
      <c r="H164" s="23"/>
    </row>
    <row r="165" customFormat="false" ht="15" hidden="false" customHeight="false" outlineLevel="0" collapsed="false">
      <c r="A165" s="28" t="s">
        <v>1905</v>
      </c>
      <c r="B165" s="62" t="s">
        <v>618</v>
      </c>
      <c r="C165" s="107" t="n">
        <v>38000</v>
      </c>
      <c r="D165" s="62" t="s">
        <v>1906</v>
      </c>
    </row>
    <row r="166" customFormat="false" ht="15" hidden="false" customHeight="false" outlineLevel="0" collapsed="false">
      <c r="A166" s="28" t="s">
        <v>1907</v>
      </c>
      <c r="B166" s="62" t="s">
        <v>618</v>
      </c>
      <c r="C166" s="107" t="n">
        <v>14000</v>
      </c>
      <c r="D166" s="62" t="s">
        <v>1908</v>
      </c>
    </row>
    <row r="167" customFormat="false" ht="15" hidden="false" customHeight="false" outlineLevel="0" collapsed="false">
      <c r="A167" s="28" t="s">
        <v>1909</v>
      </c>
      <c r="B167" s="62" t="s">
        <v>618</v>
      </c>
      <c r="C167" s="107" t="n">
        <v>34000</v>
      </c>
      <c r="D167" s="62" t="s">
        <v>1910</v>
      </c>
    </row>
    <row r="168" customFormat="false" ht="15" hidden="false" customHeight="false" outlineLevel="0" collapsed="false">
      <c r="A168" s="28" t="s">
        <v>1911</v>
      </c>
      <c r="B168" s="62" t="s">
        <v>618</v>
      </c>
      <c r="C168" s="107" t="n">
        <v>16000</v>
      </c>
      <c r="D168" s="62" t="s">
        <v>1912</v>
      </c>
    </row>
    <row r="169" customFormat="false" ht="15" hidden="false" customHeight="false" outlineLevel="0" collapsed="false">
      <c r="A169" s="28" t="s">
        <v>1913</v>
      </c>
      <c r="B169" s="62" t="s">
        <v>618</v>
      </c>
      <c r="C169" s="107" t="n">
        <v>4500</v>
      </c>
      <c r="D169" s="62" t="s">
        <v>1914</v>
      </c>
    </row>
    <row r="170" customFormat="false" ht="15" hidden="false" customHeight="false" outlineLevel="0" collapsed="false">
      <c r="A170" s="28" t="s">
        <v>1915</v>
      </c>
      <c r="B170" s="62" t="s">
        <v>618</v>
      </c>
      <c r="C170" s="107" t="n">
        <v>11000</v>
      </c>
      <c r="D170" s="62" t="s">
        <v>1916</v>
      </c>
    </row>
    <row r="171" customFormat="false" ht="15" hidden="false" customHeight="false" outlineLevel="0" collapsed="false">
      <c r="A171" s="28" t="s">
        <v>1917</v>
      </c>
      <c r="B171" s="62" t="s">
        <v>618</v>
      </c>
      <c r="C171" s="107" t="n">
        <v>1000</v>
      </c>
    </row>
    <row r="172" customFormat="false" ht="15" hidden="false" customHeight="false" outlineLevel="0" collapsed="false">
      <c r="A172" s="28" t="s">
        <v>1918</v>
      </c>
      <c r="B172" s="62" t="s">
        <v>1673</v>
      </c>
      <c r="C172" s="125" t="n">
        <v>0.025</v>
      </c>
    </row>
    <row r="173" customFormat="false" ht="15" hidden="false" customHeight="false" outlineLevel="0" collapsed="false">
      <c r="A173" s="28" t="s">
        <v>1919</v>
      </c>
      <c r="B173" s="62" t="s">
        <v>1673</v>
      </c>
      <c r="C173" s="133" t="n">
        <v>0.018</v>
      </c>
      <c r="D173" s="62" t="s">
        <v>1920</v>
      </c>
    </row>
    <row r="174" customFormat="false" ht="15" hidden="false" customHeight="false" outlineLevel="0" collapsed="false">
      <c r="A174" s="28" t="s">
        <v>1921</v>
      </c>
      <c r="B174" s="62" t="s">
        <v>1673</v>
      </c>
      <c r="C174" s="133" t="n">
        <v>0.019</v>
      </c>
      <c r="D174" s="62" t="s">
        <v>1922</v>
      </c>
    </row>
    <row r="175" customFormat="false" ht="15" hidden="false" customHeight="false" outlineLevel="0" collapsed="false">
      <c r="A175" s="28" t="s">
        <v>1923</v>
      </c>
      <c r="B175" s="62" t="s">
        <v>618</v>
      </c>
      <c r="C175" s="136" t="n">
        <v>0.25</v>
      </c>
    </row>
    <row r="177" customFormat="false" ht="15" hidden="false" customHeight="false" outlineLevel="0" collapsed="false">
      <c r="A177" s="22" t="s">
        <v>1924</v>
      </c>
      <c r="B177" s="23"/>
      <c r="C177" s="23"/>
      <c r="D177" s="23"/>
      <c r="E177" s="23"/>
      <c r="F177" s="23"/>
      <c r="G177" s="23"/>
      <c r="H177" s="23"/>
    </row>
    <row r="178" customFormat="false" ht="15" hidden="false" customHeight="false" outlineLevel="0" collapsed="false">
      <c r="A178" s="26" t="s">
        <v>1925</v>
      </c>
      <c r="B178" s="27" t="s">
        <v>611</v>
      </c>
      <c r="C178" s="27" t="s">
        <v>612</v>
      </c>
      <c r="D178" s="27" t="s">
        <v>613</v>
      </c>
      <c r="E178" s="27" t="s">
        <v>614</v>
      </c>
      <c r="F178" s="27" t="s">
        <v>1926</v>
      </c>
      <c r="G178" s="27" t="s">
        <v>554</v>
      </c>
      <c r="H178" s="27" t="s">
        <v>1785</v>
      </c>
    </row>
    <row r="179" customFormat="false" ht="15" hidden="false" customHeight="false" outlineLevel="0" collapsed="false">
      <c r="A179" s="28" t="s">
        <v>1927</v>
      </c>
      <c r="B179" s="62" t="s">
        <v>1673</v>
      </c>
      <c r="C179" s="125" t="n">
        <v>0.03</v>
      </c>
      <c r="D179" s="125" t="n">
        <v>0.01</v>
      </c>
      <c r="E179" s="125" t="n">
        <v>0.04</v>
      </c>
      <c r="F179" s="66" t="n">
        <f aca="false">CHOOSE(Assumptions!$C$11,C179,D179,E179)</f>
        <v>0.03</v>
      </c>
      <c r="H179" s="62" t="s">
        <v>1928</v>
      </c>
    </row>
    <row r="180" customFormat="false" ht="15" hidden="false" customHeight="false" outlineLevel="0" collapsed="false">
      <c r="A180" s="28" t="s">
        <v>1929</v>
      </c>
      <c r="B180" s="62" t="s">
        <v>1930</v>
      </c>
      <c r="C180" s="135" t="n">
        <v>1</v>
      </c>
      <c r="D180" s="135" t="n">
        <v>0.7</v>
      </c>
      <c r="E180" s="135" t="n">
        <v>1.15</v>
      </c>
      <c r="F180" s="139" t="n">
        <f aca="false">CHOOSE(Assumptions!$C$11,C180,D180,E180)</f>
        <v>1</v>
      </c>
      <c r="G180" s="95" t="n">
        <f aca="false">AVERAGEIFS(Team!$E$9:$AB$9,Assumptions!$E$205:$AB$205,"A")/Assumptions!$C$130</f>
        <v>0.973154362416107</v>
      </c>
    </row>
    <row r="181" customFormat="false" ht="15" hidden="false" customHeight="false" outlineLevel="0" collapsed="false">
      <c r="A181" s="28" t="s">
        <v>1931</v>
      </c>
      <c r="B181" s="62" t="s">
        <v>1930</v>
      </c>
      <c r="C181" s="135" t="n">
        <v>1</v>
      </c>
      <c r="D181" s="135" t="n">
        <v>1.3</v>
      </c>
      <c r="E181" s="135" t="n">
        <v>0.85</v>
      </c>
      <c r="F181" s="139" t="n">
        <f aca="false">CHOOSE(Assumptions!$C$11,C181,D181,E181)</f>
        <v>1</v>
      </c>
    </row>
    <row r="182" customFormat="false" ht="15" hidden="false" customHeight="false" outlineLevel="0" collapsed="false">
      <c r="A182" s="28" t="s">
        <v>1932</v>
      </c>
      <c r="B182" s="62" t="s">
        <v>1680</v>
      </c>
      <c r="C182" s="125" t="n">
        <v>0.23</v>
      </c>
      <c r="D182" s="125" t="n">
        <v>0.19</v>
      </c>
      <c r="E182" s="125" t="n">
        <v>0.25</v>
      </c>
      <c r="F182" s="66" t="n">
        <f aca="false">CHOOSE(Assumptions!$C$11,C182,D182,E182)</f>
        <v>0.23</v>
      </c>
      <c r="G182" s="63" t="n">
        <f aca="false">SUMIFS(Team!$E$16:$AB$16,Assumptions!$E$205:$AB$205,"A")/SUMIFS(Team!$E$15:$AB$15,Assumptions!$E$205:$AB$205,"A")</f>
        <v>0.22873126164188</v>
      </c>
    </row>
    <row r="183" customFormat="false" ht="15" hidden="false" customHeight="false" outlineLevel="0" collapsed="false">
      <c r="A183" s="28" t="s">
        <v>1933</v>
      </c>
      <c r="B183" s="62" t="s">
        <v>1930</v>
      </c>
      <c r="C183" s="135" t="n">
        <v>1</v>
      </c>
      <c r="D183" s="135" t="n">
        <v>0.5</v>
      </c>
      <c r="E183" s="135" t="n">
        <v>1.25</v>
      </c>
      <c r="F183" s="139" t="n">
        <f aca="false">CHOOSE(Assumptions!$C$11,C183,D183,E183)</f>
        <v>1</v>
      </c>
      <c r="H183" s="62" t="s">
        <v>1934</v>
      </c>
    </row>
    <row r="184" customFormat="false" ht="15" hidden="false" customHeight="false" outlineLevel="0" collapsed="false">
      <c r="A184" s="28" t="s">
        <v>1935</v>
      </c>
      <c r="B184" s="62" t="s">
        <v>1673</v>
      </c>
      <c r="C184" s="125" t="n">
        <v>0.08</v>
      </c>
      <c r="D184" s="125" t="n">
        <v>0</v>
      </c>
      <c r="E184" s="125" t="n">
        <v>0.12</v>
      </c>
      <c r="F184" s="66" t="n">
        <f aca="false">CHOOSE(Assumptions!$C$11,C184,D184,E184)</f>
        <v>0.08</v>
      </c>
      <c r="H184" s="62" t="s">
        <v>1936</v>
      </c>
    </row>
    <row r="185" customFormat="false" ht="15" hidden="false" customHeight="false" outlineLevel="0" collapsed="false">
      <c r="A185" s="28" t="s">
        <v>1937</v>
      </c>
      <c r="B185" s="62" t="s">
        <v>1938</v>
      </c>
      <c r="C185" s="126" t="n">
        <v>0</v>
      </c>
      <c r="D185" s="126" t="n">
        <v>2</v>
      </c>
      <c r="E185" s="126" t="n">
        <v>0</v>
      </c>
      <c r="F185" s="69" t="n">
        <f aca="false">CHOOSE(Assumptions!$C$11,C185,D185,E185)</f>
        <v>0</v>
      </c>
    </row>
    <row r="186" customFormat="false" ht="15" hidden="false" customHeight="false" outlineLevel="0" collapsed="false">
      <c r="A186" s="28" t="s">
        <v>1939</v>
      </c>
      <c r="B186" s="62" t="s">
        <v>1680</v>
      </c>
      <c r="C186" s="125" t="n">
        <v>0.1</v>
      </c>
      <c r="D186" s="125" t="n">
        <v>0.2</v>
      </c>
      <c r="E186" s="125" t="n">
        <v>0.05</v>
      </c>
      <c r="F186" s="66" t="n">
        <f aca="false">CHOOSE(Assumptions!$C$11,C186,D186,E186)</f>
        <v>0.1</v>
      </c>
      <c r="H186" s="62" t="s">
        <v>1940</v>
      </c>
    </row>
    <row r="187" customFormat="false" ht="15" hidden="false" customHeight="false" outlineLevel="0" collapsed="false">
      <c r="A187" s="28" t="s">
        <v>1941</v>
      </c>
      <c r="B187" s="62" t="s">
        <v>1881</v>
      </c>
      <c r="C187" s="136" t="n">
        <v>1.5</v>
      </c>
      <c r="D187" s="136" t="n">
        <v>1.8</v>
      </c>
      <c r="E187" s="136" t="n">
        <v>1.4</v>
      </c>
      <c r="F187" s="71" t="n">
        <f aca="false">CHOOSE(Assumptions!$C$11,C187,D187,E187)</f>
        <v>1.5</v>
      </c>
      <c r="H187" s="62" t="s">
        <v>1942</v>
      </c>
    </row>
    <row r="188" customFormat="false" ht="15" hidden="false" customHeight="false" outlineLevel="0" collapsed="false">
      <c r="A188" s="28" t="s">
        <v>1943</v>
      </c>
      <c r="B188" s="62" t="s">
        <v>1673</v>
      </c>
      <c r="C188" s="125" t="n">
        <v>0.03</v>
      </c>
      <c r="D188" s="125" t="n">
        <v>0.01</v>
      </c>
      <c r="E188" s="125" t="n">
        <v>0.04</v>
      </c>
      <c r="F188" s="66" t="n">
        <f aca="false">CHOOSE(Assumptions!$C$11,C188,D188,E188)</f>
        <v>0.03</v>
      </c>
      <c r="H188" s="62" t="s">
        <v>1944</v>
      </c>
    </row>
    <row r="189" customFormat="false" ht="15" hidden="false" customHeight="false" outlineLevel="0" collapsed="false">
      <c r="A189" s="28" t="s">
        <v>1945</v>
      </c>
      <c r="B189" s="62" t="s">
        <v>1896</v>
      </c>
      <c r="C189" s="126" t="n">
        <v>20</v>
      </c>
      <c r="D189" s="126" t="n">
        <v>18</v>
      </c>
      <c r="E189" s="126" t="n">
        <v>22</v>
      </c>
      <c r="F189" s="69" t="n">
        <f aca="false">CHOOSE(Assumptions!$C$11,C189,D189,E189)</f>
        <v>20</v>
      </c>
      <c r="H189" s="62" t="s">
        <v>1946</v>
      </c>
    </row>
    <row r="190" customFormat="false" ht="15" hidden="false" customHeight="false" outlineLevel="0" collapsed="false">
      <c r="A190" s="28" t="s">
        <v>1947</v>
      </c>
      <c r="B190" s="62" t="s">
        <v>1881</v>
      </c>
      <c r="C190" s="107" t="n">
        <v>800000</v>
      </c>
      <c r="D190" s="107" t="n">
        <v>700000</v>
      </c>
      <c r="E190" s="107" t="n">
        <v>850000</v>
      </c>
      <c r="F190" s="64" t="n">
        <f aca="false">CHOOSE(Assumptions!$C$11,C190,D190,E190)</f>
        <v>800000</v>
      </c>
      <c r="H190" s="62" t="s">
        <v>1948</v>
      </c>
    </row>
    <row r="191" customFormat="false" ht="15" hidden="false" customHeight="false" outlineLevel="0" collapsed="false">
      <c r="A191" s="28" t="s">
        <v>1949</v>
      </c>
      <c r="B191" s="62" t="s">
        <v>1673</v>
      </c>
      <c r="C191" s="134" t="n">
        <v>1.1463</v>
      </c>
      <c r="D191" s="134" t="n">
        <v>1.08</v>
      </c>
      <c r="E191" s="134" t="n">
        <v>1.18</v>
      </c>
      <c r="F191" s="117" t="n">
        <f aca="false">CHOOSE(Assumptions!$C$11,C191,D191,E191)</f>
        <v>1.1463</v>
      </c>
      <c r="G191" s="99" t="n">
        <f aca="false">AVERAGEIFS(Assumptions!$E$216:$AB$216,Assumptions!$E$205:$AB$205,"A")</f>
        <v>1.1627875</v>
      </c>
      <c r="H191" s="62" t="s">
        <v>1950</v>
      </c>
    </row>
    <row r="192" customFormat="false" ht="15" hidden="false" customHeight="false" outlineLevel="0" collapsed="false">
      <c r="A192" s="28" t="s">
        <v>1951</v>
      </c>
      <c r="B192" s="62" t="s">
        <v>636</v>
      </c>
      <c r="C192" s="124" t="n">
        <v>46660</v>
      </c>
      <c r="D192" s="124" t="n">
        <v>46752</v>
      </c>
      <c r="E192" s="124" t="n">
        <v>46630</v>
      </c>
      <c r="F192" s="140" t="n">
        <f aca="false">CHOOSE(Assumptions!$C$11,C192,D192,E192)</f>
        <v>46660</v>
      </c>
      <c r="H192" s="62" t="s">
        <v>1952</v>
      </c>
    </row>
    <row r="193" customFormat="false" ht="15" hidden="false" customHeight="false" outlineLevel="0" collapsed="false">
      <c r="A193" s="28" t="s">
        <v>1953</v>
      </c>
      <c r="B193" s="62" t="s">
        <v>1673</v>
      </c>
      <c r="C193" s="125" t="n">
        <v>0.03</v>
      </c>
      <c r="D193" s="125" t="n">
        <v>0.02</v>
      </c>
      <c r="E193" s="125" t="n">
        <v>0.035</v>
      </c>
      <c r="F193" s="66" t="n">
        <f aca="false">CHOOSE(Assumptions!$C$11,C193,D193,E193)</f>
        <v>0.03</v>
      </c>
      <c r="H193" s="62" t="s">
        <v>1954</v>
      </c>
    </row>
    <row r="194" customFormat="false" ht="15" hidden="false" customHeight="false" outlineLevel="0" collapsed="false">
      <c r="A194" s="28" t="s">
        <v>1955</v>
      </c>
      <c r="B194" s="62" t="s">
        <v>1680</v>
      </c>
      <c r="C194" s="125" t="n">
        <v>1</v>
      </c>
      <c r="D194" s="125" t="n">
        <v>0.5</v>
      </c>
      <c r="E194" s="125" t="n">
        <v>1</v>
      </c>
      <c r="F194" s="66" t="n">
        <f aca="false">CHOOSE(Assumptions!$C$11,C194,D194,E194)</f>
        <v>1</v>
      </c>
      <c r="H194" s="62" t="s">
        <v>1956</v>
      </c>
    </row>
    <row r="195" customFormat="false" ht="15" hidden="false" customHeight="false" outlineLevel="0" collapsed="false">
      <c r="A195" s="28" t="s">
        <v>1957</v>
      </c>
      <c r="B195" s="62" t="s">
        <v>1680</v>
      </c>
      <c r="C195" s="125" t="n">
        <v>1</v>
      </c>
      <c r="D195" s="125" t="n">
        <v>0.5</v>
      </c>
      <c r="E195" s="125" t="n">
        <v>1</v>
      </c>
      <c r="F195" s="66" t="n">
        <f aca="false">CHOOSE(Assumptions!$C$11,C195,D195,E195)</f>
        <v>1</v>
      </c>
    </row>
    <row r="196" customFormat="false" ht="15" hidden="false" customHeight="false" outlineLevel="0" collapsed="false">
      <c r="A196" s="28" t="s">
        <v>1958</v>
      </c>
      <c r="B196" s="62" t="s">
        <v>1930</v>
      </c>
      <c r="C196" s="135" t="n">
        <v>1</v>
      </c>
      <c r="D196" s="135" t="n">
        <v>0.7</v>
      </c>
      <c r="E196" s="135" t="n">
        <v>1</v>
      </c>
      <c r="F196" s="139" t="n">
        <f aca="false">CHOOSE(Assumptions!$C$11,C196,D196,E196)</f>
        <v>1</v>
      </c>
      <c r="H196" s="62" t="s">
        <v>1959</v>
      </c>
    </row>
    <row r="197" customFormat="false" ht="15" hidden="false" customHeight="false" outlineLevel="0" collapsed="false">
      <c r="A197" s="28" t="s">
        <v>1960</v>
      </c>
      <c r="B197" s="62" t="s">
        <v>1930</v>
      </c>
      <c r="C197" s="135" t="n">
        <v>1</v>
      </c>
      <c r="D197" s="135" t="n">
        <v>0.8</v>
      </c>
      <c r="E197" s="135" t="n">
        <v>1.1</v>
      </c>
      <c r="F197" s="139" t="n">
        <f aca="false">CHOOSE(Assumptions!$C$11,C197,D197,E197)</f>
        <v>1</v>
      </c>
    </row>
    <row r="198" customFormat="false" ht="15" hidden="false" customHeight="false" outlineLevel="0" collapsed="false">
      <c r="A198" s="28" t="s">
        <v>1961</v>
      </c>
      <c r="B198" s="62" t="s">
        <v>1775</v>
      </c>
      <c r="C198" s="126" t="n">
        <v>0</v>
      </c>
      <c r="D198" s="126" t="n">
        <v>15</v>
      </c>
      <c r="E198" s="126" t="n">
        <v>0</v>
      </c>
      <c r="F198" s="69" t="n">
        <f aca="false">CHOOSE(Assumptions!$C$11,C198,D198,E198)</f>
        <v>0</v>
      </c>
      <c r="G198" s="68" t="n">
        <f aca="false">INDEX(Receivables!$E$30:$AB$30,Assumptions!$C$10)</f>
        <v>56.556205929078</v>
      </c>
    </row>
    <row r="199" customFormat="false" ht="15" hidden="false" customHeight="false" outlineLevel="0" collapsed="false">
      <c r="A199" s="28" t="s">
        <v>1962</v>
      </c>
      <c r="B199" s="62" t="s">
        <v>1680</v>
      </c>
      <c r="C199" s="125" t="n">
        <v>0.3</v>
      </c>
      <c r="D199" s="125" t="n">
        <v>0.6</v>
      </c>
      <c r="E199" s="125" t="n">
        <v>0.1</v>
      </c>
      <c r="F199" s="66" t="n">
        <f aca="false">CHOOSE(Assumptions!$C$11,C199,D199,E199)</f>
        <v>0.3</v>
      </c>
      <c r="H199" s="62" t="s">
        <v>1963</v>
      </c>
    </row>
    <row r="200" customFormat="false" ht="15" hidden="false" customHeight="false" outlineLevel="0" collapsed="false">
      <c r="A200" s="28" t="s">
        <v>1964</v>
      </c>
      <c r="B200" s="62" t="s">
        <v>636</v>
      </c>
      <c r="C200" s="124" t="n">
        <v>46326</v>
      </c>
      <c r="D200" s="124" t="n">
        <v>46387</v>
      </c>
      <c r="E200" s="124" t="n">
        <v>46326</v>
      </c>
      <c r="F200" s="140" t="n">
        <f aca="false">CHOOSE(Assumptions!$C$11,C200,D200,E200)</f>
        <v>46326</v>
      </c>
    </row>
    <row r="202" customFormat="false" ht="15" hidden="false" customHeight="false" outlineLevel="0" collapsed="false">
      <c r="A202" s="22" t="s">
        <v>1965</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row>
    <row r="203" customFormat="false" ht="15" hidden="false" customHeight="false" outlineLevel="0" collapsed="false">
      <c r="A203" s="28" t="s">
        <v>1966</v>
      </c>
      <c r="E203" s="141" t="n">
        <f aca="false">Assumptions!$C$8</f>
        <v>46053</v>
      </c>
      <c r="F203" s="141" t="n">
        <f aca="false">EOMONTH(E203,1)</f>
        <v>46081</v>
      </c>
      <c r="G203" s="141" t="n">
        <f aca="false">EOMONTH(F203,1)</f>
        <v>46112</v>
      </c>
      <c r="H203" s="141" t="n">
        <f aca="false">EOMONTH(G203,1)</f>
        <v>46142</v>
      </c>
      <c r="I203" s="141" t="n">
        <f aca="false">EOMONTH(H203,1)</f>
        <v>46173</v>
      </c>
      <c r="J203" s="141" t="n">
        <f aca="false">EOMONTH(I203,1)</f>
        <v>46203</v>
      </c>
      <c r="K203" s="141" t="n">
        <f aca="false">EOMONTH(J203,1)</f>
        <v>46234</v>
      </c>
      <c r="L203" s="141" t="n">
        <f aca="false">EOMONTH(K203,1)</f>
        <v>46265</v>
      </c>
      <c r="M203" s="141" t="n">
        <f aca="false">EOMONTH(L203,1)</f>
        <v>46295</v>
      </c>
      <c r="N203" s="141" t="n">
        <f aca="false">EOMONTH(M203,1)</f>
        <v>46326</v>
      </c>
      <c r="O203" s="141" t="n">
        <f aca="false">EOMONTH(N203,1)</f>
        <v>46356</v>
      </c>
      <c r="P203" s="141" t="n">
        <f aca="false">EOMONTH(O203,1)</f>
        <v>46387</v>
      </c>
      <c r="Q203" s="141" t="n">
        <f aca="false">EOMONTH(P203,1)</f>
        <v>46418</v>
      </c>
      <c r="R203" s="141" t="n">
        <f aca="false">EOMONTH(Q203,1)</f>
        <v>46446</v>
      </c>
      <c r="S203" s="141" t="n">
        <f aca="false">EOMONTH(R203,1)</f>
        <v>46477</v>
      </c>
      <c r="T203" s="141" t="n">
        <f aca="false">EOMONTH(S203,1)</f>
        <v>46507</v>
      </c>
      <c r="U203" s="141" t="n">
        <f aca="false">EOMONTH(T203,1)</f>
        <v>46538</v>
      </c>
      <c r="V203" s="141" t="n">
        <f aca="false">EOMONTH(U203,1)</f>
        <v>46568</v>
      </c>
      <c r="W203" s="141" t="n">
        <f aca="false">EOMONTH(V203,1)</f>
        <v>46599</v>
      </c>
      <c r="X203" s="141" t="n">
        <f aca="false">EOMONTH(W203,1)</f>
        <v>46630</v>
      </c>
      <c r="Y203" s="141" t="n">
        <f aca="false">EOMONTH(X203,1)</f>
        <v>46660</v>
      </c>
      <c r="Z203" s="141" t="n">
        <f aca="false">EOMONTH(Y203,1)</f>
        <v>46691</v>
      </c>
      <c r="AA203" s="141" t="n">
        <f aca="false">EOMONTH(Z203,1)</f>
        <v>46721</v>
      </c>
      <c r="AB203" s="141" t="n">
        <f aca="false">EOMONTH(AA203,1)</f>
        <v>46752</v>
      </c>
    </row>
    <row r="204" customFormat="false" ht="15" hidden="false" customHeight="false" outlineLevel="0" collapsed="false">
      <c r="A204" s="28" t="s">
        <v>348</v>
      </c>
      <c r="E204" s="142" t="n">
        <v>1</v>
      </c>
      <c r="F204" s="142" t="n">
        <f aca="false">E204+1</f>
        <v>2</v>
      </c>
      <c r="G204" s="142" t="n">
        <f aca="false">F204+1</f>
        <v>3</v>
      </c>
      <c r="H204" s="142" t="n">
        <f aca="false">G204+1</f>
        <v>4</v>
      </c>
      <c r="I204" s="142" t="n">
        <f aca="false">H204+1</f>
        <v>5</v>
      </c>
      <c r="J204" s="142" t="n">
        <f aca="false">I204+1</f>
        <v>6</v>
      </c>
      <c r="K204" s="142" t="n">
        <f aca="false">J204+1</f>
        <v>7</v>
      </c>
      <c r="L204" s="142" t="n">
        <f aca="false">K204+1</f>
        <v>8</v>
      </c>
      <c r="M204" s="142" t="n">
        <f aca="false">L204+1</f>
        <v>9</v>
      </c>
      <c r="N204" s="142" t="n">
        <f aca="false">M204+1</f>
        <v>10</v>
      </c>
      <c r="O204" s="142" t="n">
        <f aca="false">N204+1</f>
        <v>11</v>
      </c>
      <c r="P204" s="142" t="n">
        <f aca="false">O204+1</f>
        <v>12</v>
      </c>
      <c r="Q204" s="142" t="n">
        <f aca="false">P204+1</f>
        <v>13</v>
      </c>
      <c r="R204" s="142" t="n">
        <f aca="false">Q204+1</f>
        <v>14</v>
      </c>
      <c r="S204" s="142" t="n">
        <f aca="false">R204+1</f>
        <v>15</v>
      </c>
      <c r="T204" s="142" t="n">
        <f aca="false">S204+1</f>
        <v>16</v>
      </c>
      <c r="U204" s="142" t="n">
        <f aca="false">T204+1</f>
        <v>17</v>
      </c>
      <c r="V204" s="142" t="n">
        <f aca="false">U204+1</f>
        <v>18</v>
      </c>
      <c r="W204" s="142" t="n">
        <f aca="false">V204+1</f>
        <v>19</v>
      </c>
      <c r="X204" s="142" t="n">
        <f aca="false">W204+1</f>
        <v>20</v>
      </c>
      <c r="Y204" s="142" t="n">
        <f aca="false">X204+1</f>
        <v>21</v>
      </c>
      <c r="Z204" s="142" t="n">
        <f aca="false">Y204+1</f>
        <v>22</v>
      </c>
      <c r="AA204" s="142" t="n">
        <f aca="false">Z204+1</f>
        <v>23</v>
      </c>
      <c r="AB204" s="142" t="n">
        <f aca="false">AA204+1</f>
        <v>24</v>
      </c>
    </row>
    <row r="205" customFormat="false" ht="15" hidden="false" customHeight="false" outlineLevel="0" collapsed="false">
      <c r="A205" s="28" t="s">
        <v>345</v>
      </c>
      <c r="E205" s="143" t="str">
        <f aca="false">IF(Assumptions!E$203&lt;=Assumptions!$C$9,"A","F")</f>
        <v>A</v>
      </c>
      <c r="F205" s="143" t="str">
        <f aca="false">IF(Assumptions!F$203&lt;=Assumptions!$C$9,"A","F")</f>
        <v>A</v>
      </c>
      <c r="G205" s="143" t="str">
        <f aca="false">IF(Assumptions!G$203&lt;=Assumptions!$C$9,"A","F")</f>
        <v>A</v>
      </c>
      <c r="H205" s="143" t="str">
        <f aca="false">IF(Assumptions!H$203&lt;=Assumptions!$C$9,"A","F")</f>
        <v>A</v>
      </c>
      <c r="I205" s="143" t="str">
        <f aca="false">IF(Assumptions!I$203&lt;=Assumptions!$C$9,"A","F")</f>
        <v>A</v>
      </c>
      <c r="J205" s="143" t="str">
        <f aca="false">IF(Assumptions!J$203&lt;=Assumptions!$C$9,"A","F")</f>
        <v>A</v>
      </c>
      <c r="K205" s="143" t="str">
        <f aca="false">IF(Assumptions!K$203&lt;=Assumptions!$C$9,"A","F")</f>
        <v>A</v>
      </c>
      <c r="L205" s="143" t="str">
        <f aca="false">IF(Assumptions!L$203&lt;=Assumptions!$C$9,"A","F")</f>
        <v>A</v>
      </c>
      <c r="M205" s="143" t="str">
        <f aca="false">IF(Assumptions!M$203&lt;=Assumptions!$C$9,"A","F")</f>
        <v>F</v>
      </c>
      <c r="N205" s="143" t="str">
        <f aca="false">IF(Assumptions!N$203&lt;=Assumptions!$C$9,"A","F")</f>
        <v>F</v>
      </c>
      <c r="O205" s="143" t="str">
        <f aca="false">IF(Assumptions!O$203&lt;=Assumptions!$C$9,"A","F")</f>
        <v>F</v>
      </c>
      <c r="P205" s="143" t="str">
        <f aca="false">IF(Assumptions!P$203&lt;=Assumptions!$C$9,"A","F")</f>
        <v>F</v>
      </c>
      <c r="Q205" s="143" t="str">
        <f aca="false">IF(Assumptions!Q$203&lt;=Assumptions!$C$9,"A","F")</f>
        <v>F</v>
      </c>
      <c r="R205" s="143" t="str">
        <f aca="false">IF(Assumptions!R$203&lt;=Assumptions!$C$9,"A","F")</f>
        <v>F</v>
      </c>
      <c r="S205" s="143" t="str">
        <f aca="false">IF(Assumptions!S$203&lt;=Assumptions!$C$9,"A","F")</f>
        <v>F</v>
      </c>
      <c r="T205" s="143" t="str">
        <f aca="false">IF(Assumptions!T$203&lt;=Assumptions!$C$9,"A","F")</f>
        <v>F</v>
      </c>
      <c r="U205" s="143" t="str">
        <f aca="false">IF(Assumptions!U$203&lt;=Assumptions!$C$9,"A","F")</f>
        <v>F</v>
      </c>
      <c r="V205" s="143" t="str">
        <f aca="false">IF(Assumptions!V$203&lt;=Assumptions!$C$9,"A","F")</f>
        <v>F</v>
      </c>
      <c r="W205" s="143" t="str">
        <f aca="false">IF(Assumptions!W$203&lt;=Assumptions!$C$9,"A","F")</f>
        <v>F</v>
      </c>
      <c r="X205" s="143" t="str">
        <f aca="false">IF(Assumptions!X$203&lt;=Assumptions!$C$9,"A","F")</f>
        <v>F</v>
      </c>
      <c r="Y205" s="143" t="str">
        <f aca="false">IF(Assumptions!Y$203&lt;=Assumptions!$C$9,"A","F")</f>
        <v>F</v>
      </c>
      <c r="Z205" s="143" t="str">
        <f aca="false">IF(Assumptions!Z$203&lt;=Assumptions!$C$9,"A","F")</f>
        <v>F</v>
      </c>
      <c r="AA205" s="143" t="str">
        <f aca="false">IF(Assumptions!AA$203&lt;=Assumptions!$C$9,"A","F")</f>
        <v>F</v>
      </c>
      <c r="AB205" s="143" t="str">
        <f aca="false">IF(Assumptions!AB$203&lt;=Assumptions!$C$9,"A","F")</f>
        <v>F</v>
      </c>
    </row>
    <row r="206" customFormat="false" ht="15" hidden="false" customHeight="false" outlineLevel="0" collapsed="false">
      <c r="A206" s="28" t="s">
        <v>1967</v>
      </c>
      <c r="E206" s="142" t="n">
        <f aca="false">YEAR(Assumptions!E$203)</f>
        <v>2026</v>
      </c>
      <c r="F206" s="142" t="n">
        <f aca="false">YEAR(Assumptions!F$203)</f>
        <v>2026</v>
      </c>
      <c r="G206" s="142" t="n">
        <f aca="false">YEAR(Assumptions!G$203)</f>
        <v>2026</v>
      </c>
      <c r="H206" s="142" t="n">
        <f aca="false">YEAR(Assumptions!H$203)</f>
        <v>2026</v>
      </c>
      <c r="I206" s="142" t="n">
        <f aca="false">YEAR(Assumptions!I$203)</f>
        <v>2026</v>
      </c>
      <c r="J206" s="142" t="n">
        <f aca="false">YEAR(Assumptions!J$203)</f>
        <v>2026</v>
      </c>
      <c r="K206" s="142" t="n">
        <f aca="false">YEAR(Assumptions!K$203)</f>
        <v>2026</v>
      </c>
      <c r="L206" s="142" t="n">
        <f aca="false">YEAR(Assumptions!L$203)</f>
        <v>2026</v>
      </c>
      <c r="M206" s="142" t="n">
        <f aca="false">YEAR(Assumptions!M$203)</f>
        <v>2026</v>
      </c>
      <c r="N206" s="142" t="n">
        <f aca="false">YEAR(Assumptions!N$203)</f>
        <v>2026</v>
      </c>
      <c r="O206" s="142" t="n">
        <f aca="false">YEAR(Assumptions!O$203)</f>
        <v>2026</v>
      </c>
      <c r="P206" s="142" t="n">
        <f aca="false">YEAR(Assumptions!P$203)</f>
        <v>2026</v>
      </c>
      <c r="Q206" s="142" t="n">
        <f aca="false">YEAR(Assumptions!Q$203)</f>
        <v>2027</v>
      </c>
      <c r="R206" s="142" t="n">
        <f aca="false">YEAR(Assumptions!R$203)</f>
        <v>2027</v>
      </c>
      <c r="S206" s="142" t="n">
        <f aca="false">YEAR(Assumptions!S$203)</f>
        <v>2027</v>
      </c>
      <c r="T206" s="142" t="n">
        <f aca="false">YEAR(Assumptions!T$203)</f>
        <v>2027</v>
      </c>
      <c r="U206" s="142" t="n">
        <f aca="false">YEAR(Assumptions!U$203)</f>
        <v>2027</v>
      </c>
      <c r="V206" s="142" t="n">
        <f aca="false">YEAR(Assumptions!V$203)</f>
        <v>2027</v>
      </c>
      <c r="W206" s="142" t="n">
        <f aca="false">YEAR(Assumptions!W$203)</f>
        <v>2027</v>
      </c>
      <c r="X206" s="142" t="n">
        <f aca="false">YEAR(Assumptions!X$203)</f>
        <v>2027</v>
      </c>
      <c r="Y206" s="142" t="n">
        <f aca="false">YEAR(Assumptions!Y$203)</f>
        <v>2027</v>
      </c>
      <c r="Z206" s="142" t="n">
        <f aca="false">YEAR(Assumptions!Z$203)</f>
        <v>2027</v>
      </c>
      <c r="AA206" s="142" t="n">
        <f aca="false">YEAR(Assumptions!AA$203)</f>
        <v>2027</v>
      </c>
      <c r="AB206" s="142" t="n">
        <f aca="false">YEAR(Assumptions!AB$203)</f>
        <v>2027</v>
      </c>
    </row>
    <row r="207" customFormat="false" ht="15" hidden="false" customHeight="false" outlineLevel="0" collapsed="false">
      <c r="A207" s="28" t="s">
        <v>1968</v>
      </c>
      <c r="E207" s="142" t="n">
        <f aca="false">MONTH(Assumptions!E$203)</f>
        <v>1</v>
      </c>
      <c r="F207" s="142" t="n">
        <f aca="false">MONTH(Assumptions!F$203)</f>
        <v>2</v>
      </c>
      <c r="G207" s="142" t="n">
        <f aca="false">MONTH(Assumptions!G$203)</f>
        <v>3</v>
      </c>
      <c r="H207" s="142" t="n">
        <f aca="false">MONTH(Assumptions!H$203)</f>
        <v>4</v>
      </c>
      <c r="I207" s="142" t="n">
        <f aca="false">MONTH(Assumptions!I$203)</f>
        <v>5</v>
      </c>
      <c r="J207" s="142" t="n">
        <f aca="false">MONTH(Assumptions!J$203)</f>
        <v>6</v>
      </c>
      <c r="K207" s="142" t="n">
        <f aca="false">MONTH(Assumptions!K$203)</f>
        <v>7</v>
      </c>
      <c r="L207" s="142" t="n">
        <f aca="false">MONTH(Assumptions!L$203)</f>
        <v>8</v>
      </c>
      <c r="M207" s="142" t="n">
        <f aca="false">MONTH(Assumptions!M$203)</f>
        <v>9</v>
      </c>
      <c r="N207" s="142" t="n">
        <f aca="false">MONTH(Assumptions!N$203)</f>
        <v>10</v>
      </c>
      <c r="O207" s="142" t="n">
        <f aca="false">MONTH(Assumptions!O$203)</f>
        <v>11</v>
      </c>
      <c r="P207" s="142" t="n">
        <f aca="false">MONTH(Assumptions!P$203)</f>
        <v>12</v>
      </c>
      <c r="Q207" s="142" t="n">
        <f aca="false">MONTH(Assumptions!Q$203)</f>
        <v>1</v>
      </c>
      <c r="R207" s="142" t="n">
        <f aca="false">MONTH(Assumptions!R$203)</f>
        <v>2</v>
      </c>
      <c r="S207" s="142" t="n">
        <f aca="false">MONTH(Assumptions!S$203)</f>
        <v>3</v>
      </c>
      <c r="T207" s="142" t="n">
        <f aca="false">MONTH(Assumptions!T$203)</f>
        <v>4</v>
      </c>
      <c r="U207" s="142" t="n">
        <f aca="false">MONTH(Assumptions!U$203)</f>
        <v>5</v>
      </c>
      <c r="V207" s="142" t="n">
        <f aca="false">MONTH(Assumptions!V$203)</f>
        <v>6</v>
      </c>
      <c r="W207" s="142" t="n">
        <f aca="false">MONTH(Assumptions!W$203)</f>
        <v>7</v>
      </c>
      <c r="X207" s="142" t="n">
        <f aca="false">MONTH(Assumptions!X$203)</f>
        <v>8</v>
      </c>
      <c r="Y207" s="142" t="n">
        <f aca="false">MONTH(Assumptions!Y$203)</f>
        <v>9</v>
      </c>
      <c r="Z207" s="142" t="n">
        <f aca="false">MONTH(Assumptions!Z$203)</f>
        <v>10</v>
      </c>
      <c r="AA207" s="142" t="n">
        <f aca="false">MONTH(Assumptions!AA$203)</f>
        <v>11</v>
      </c>
      <c r="AB207" s="142" t="n">
        <f aca="false">MONTH(Assumptions!AB$203)</f>
        <v>12</v>
      </c>
    </row>
    <row r="208" customFormat="false" ht="15" hidden="false" customHeight="false" outlineLevel="0" collapsed="false">
      <c r="A208" s="28" t="s">
        <v>1969</v>
      </c>
      <c r="E208" s="142" t="n">
        <f aca="false">DAY(Assumptions!E$203)</f>
        <v>31</v>
      </c>
      <c r="F208" s="142" t="n">
        <f aca="false">DAY(Assumptions!F$203)</f>
        <v>28</v>
      </c>
      <c r="G208" s="142" t="n">
        <f aca="false">DAY(Assumptions!G$203)</f>
        <v>31</v>
      </c>
      <c r="H208" s="142" t="n">
        <f aca="false">DAY(Assumptions!H$203)</f>
        <v>30</v>
      </c>
      <c r="I208" s="142" t="n">
        <f aca="false">DAY(Assumptions!I$203)</f>
        <v>31</v>
      </c>
      <c r="J208" s="142" t="n">
        <f aca="false">DAY(Assumptions!J$203)</f>
        <v>30</v>
      </c>
      <c r="K208" s="142" t="n">
        <f aca="false">DAY(Assumptions!K$203)</f>
        <v>31</v>
      </c>
      <c r="L208" s="142" t="n">
        <f aca="false">DAY(Assumptions!L$203)</f>
        <v>31</v>
      </c>
      <c r="M208" s="142" t="n">
        <f aca="false">DAY(Assumptions!M$203)</f>
        <v>30</v>
      </c>
      <c r="N208" s="142" t="n">
        <f aca="false">DAY(Assumptions!N$203)</f>
        <v>31</v>
      </c>
      <c r="O208" s="142" t="n">
        <f aca="false">DAY(Assumptions!O$203)</f>
        <v>30</v>
      </c>
      <c r="P208" s="142" t="n">
        <f aca="false">DAY(Assumptions!P$203)</f>
        <v>31</v>
      </c>
      <c r="Q208" s="142" t="n">
        <f aca="false">DAY(Assumptions!Q$203)</f>
        <v>31</v>
      </c>
      <c r="R208" s="142" t="n">
        <f aca="false">DAY(Assumptions!R$203)</f>
        <v>28</v>
      </c>
      <c r="S208" s="142" t="n">
        <f aca="false">DAY(Assumptions!S$203)</f>
        <v>31</v>
      </c>
      <c r="T208" s="142" t="n">
        <f aca="false">DAY(Assumptions!T$203)</f>
        <v>30</v>
      </c>
      <c r="U208" s="142" t="n">
        <f aca="false">DAY(Assumptions!U$203)</f>
        <v>31</v>
      </c>
      <c r="V208" s="142" t="n">
        <f aca="false">DAY(Assumptions!V$203)</f>
        <v>30</v>
      </c>
      <c r="W208" s="142" t="n">
        <f aca="false">DAY(Assumptions!W$203)</f>
        <v>31</v>
      </c>
      <c r="X208" s="142" t="n">
        <f aca="false">DAY(Assumptions!X$203)</f>
        <v>31</v>
      </c>
      <c r="Y208" s="142" t="n">
        <f aca="false">DAY(Assumptions!Y$203)</f>
        <v>30</v>
      </c>
      <c r="Z208" s="142" t="n">
        <f aca="false">DAY(Assumptions!Z$203)</f>
        <v>31</v>
      </c>
      <c r="AA208" s="142" t="n">
        <f aca="false">DAY(Assumptions!AA$203)</f>
        <v>30</v>
      </c>
      <c r="AB208" s="142" t="n">
        <f aca="false">DAY(Assumptions!AB$203)</f>
        <v>31</v>
      </c>
    </row>
    <row r="209" customFormat="false" ht="15" hidden="false" customHeight="false" outlineLevel="0" collapsed="false">
      <c r="A209" s="28" t="s">
        <v>1970</v>
      </c>
      <c r="E209" s="142" t="n">
        <f aca="false">MAX(0,Assumptions!E$204-Assumptions!$C$10)</f>
        <v>0</v>
      </c>
      <c r="F209" s="142" t="n">
        <f aca="false">MAX(0,Assumptions!F$204-Assumptions!$C$10)</f>
        <v>0</v>
      </c>
      <c r="G209" s="142" t="n">
        <f aca="false">MAX(0,Assumptions!G$204-Assumptions!$C$10)</f>
        <v>0</v>
      </c>
      <c r="H209" s="142" t="n">
        <f aca="false">MAX(0,Assumptions!H$204-Assumptions!$C$10)</f>
        <v>0</v>
      </c>
      <c r="I209" s="142" t="n">
        <f aca="false">MAX(0,Assumptions!I$204-Assumptions!$C$10)</f>
        <v>0</v>
      </c>
      <c r="J209" s="142" t="n">
        <f aca="false">MAX(0,Assumptions!J$204-Assumptions!$C$10)</f>
        <v>0</v>
      </c>
      <c r="K209" s="142" t="n">
        <f aca="false">MAX(0,Assumptions!K$204-Assumptions!$C$10)</f>
        <v>0</v>
      </c>
      <c r="L209" s="142" t="n">
        <f aca="false">MAX(0,Assumptions!L$204-Assumptions!$C$10)</f>
        <v>0</v>
      </c>
      <c r="M209" s="142" t="n">
        <f aca="false">MAX(0,Assumptions!M$204-Assumptions!$C$10)</f>
        <v>1</v>
      </c>
      <c r="N209" s="142" t="n">
        <f aca="false">MAX(0,Assumptions!N$204-Assumptions!$C$10)</f>
        <v>2</v>
      </c>
      <c r="O209" s="142" t="n">
        <f aca="false">MAX(0,Assumptions!O$204-Assumptions!$C$10)</f>
        <v>3</v>
      </c>
      <c r="P209" s="142" t="n">
        <f aca="false">MAX(0,Assumptions!P$204-Assumptions!$C$10)</f>
        <v>4</v>
      </c>
      <c r="Q209" s="142" t="n">
        <f aca="false">MAX(0,Assumptions!Q$204-Assumptions!$C$10)</f>
        <v>5</v>
      </c>
      <c r="R209" s="142" t="n">
        <f aca="false">MAX(0,Assumptions!R$204-Assumptions!$C$10)</f>
        <v>6</v>
      </c>
      <c r="S209" s="142" t="n">
        <f aca="false">MAX(0,Assumptions!S$204-Assumptions!$C$10)</f>
        <v>7</v>
      </c>
      <c r="T209" s="142" t="n">
        <f aca="false">MAX(0,Assumptions!T$204-Assumptions!$C$10)</f>
        <v>8</v>
      </c>
      <c r="U209" s="142" t="n">
        <f aca="false">MAX(0,Assumptions!U$204-Assumptions!$C$10)</f>
        <v>9</v>
      </c>
      <c r="V209" s="142" t="n">
        <f aca="false">MAX(0,Assumptions!V$204-Assumptions!$C$10)</f>
        <v>10</v>
      </c>
      <c r="W209" s="142" t="n">
        <f aca="false">MAX(0,Assumptions!W$204-Assumptions!$C$10)</f>
        <v>11</v>
      </c>
      <c r="X209" s="142" t="n">
        <f aca="false">MAX(0,Assumptions!X$204-Assumptions!$C$10)</f>
        <v>12</v>
      </c>
      <c r="Y209" s="142" t="n">
        <f aca="false">MAX(0,Assumptions!Y$204-Assumptions!$C$10)</f>
        <v>13</v>
      </c>
      <c r="Z209" s="142" t="n">
        <f aca="false">MAX(0,Assumptions!Z$204-Assumptions!$C$10)</f>
        <v>14</v>
      </c>
      <c r="AA209" s="142" t="n">
        <f aca="false">MAX(0,Assumptions!AA$204-Assumptions!$C$10)</f>
        <v>15</v>
      </c>
      <c r="AB209" s="142" t="n">
        <f aca="false">MAX(0,Assumptions!AB$204-Assumptions!$C$10)</f>
        <v>16</v>
      </c>
    </row>
    <row r="210" customFormat="false" ht="15" hidden="false" customHeight="false" outlineLevel="0" collapsed="false">
      <c r="A210" s="28" t="s">
        <v>1971</v>
      </c>
      <c r="E210" s="144" t="n">
        <f aca="false">(1+Assumptions!$F$193)^(Assumptions!E$206-YEAR(Assumptions!$C$8))</f>
        <v>1</v>
      </c>
      <c r="F210" s="144" t="n">
        <f aca="false">(1+Assumptions!$F$193)^(Assumptions!F$206-YEAR(Assumptions!$C$8))</f>
        <v>1</v>
      </c>
      <c r="G210" s="144" t="n">
        <f aca="false">(1+Assumptions!$F$193)^(Assumptions!G$206-YEAR(Assumptions!$C$8))</f>
        <v>1</v>
      </c>
      <c r="H210" s="144" t="n">
        <f aca="false">(1+Assumptions!$F$193)^(Assumptions!H$206-YEAR(Assumptions!$C$8))</f>
        <v>1</v>
      </c>
      <c r="I210" s="144" t="n">
        <f aca="false">(1+Assumptions!$F$193)^(Assumptions!I$206-YEAR(Assumptions!$C$8))</f>
        <v>1</v>
      </c>
      <c r="J210" s="144" t="n">
        <f aca="false">(1+Assumptions!$F$193)^(Assumptions!J$206-YEAR(Assumptions!$C$8))</f>
        <v>1</v>
      </c>
      <c r="K210" s="144" t="n">
        <f aca="false">(1+Assumptions!$F$193)^(Assumptions!K$206-YEAR(Assumptions!$C$8))</f>
        <v>1</v>
      </c>
      <c r="L210" s="144" t="n">
        <f aca="false">(1+Assumptions!$F$193)^(Assumptions!L$206-YEAR(Assumptions!$C$8))</f>
        <v>1</v>
      </c>
      <c r="M210" s="144" t="n">
        <f aca="false">(1+Assumptions!$F$193)^(Assumptions!M$206-YEAR(Assumptions!$C$8))</f>
        <v>1</v>
      </c>
      <c r="N210" s="144" t="n">
        <f aca="false">(1+Assumptions!$F$193)^(Assumptions!N$206-YEAR(Assumptions!$C$8))</f>
        <v>1</v>
      </c>
      <c r="O210" s="144" t="n">
        <f aca="false">(1+Assumptions!$F$193)^(Assumptions!O$206-YEAR(Assumptions!$C$8))</f>
        <v>1</v>
      </c>
      <c r="P210" s="144" t="n">
        <f aca="false">(1+Assumptions!$F$193)^(Assumptions!P$206-YEAR(Assumptions!$C$8))</f>
        <v>1</v>
      </c>
      <c r="Q210" s="144" t="n">
        <f aca="false">(1+Assumptions!$F$193)^(Assumptions!Q$206-YEAR(Assumptions!$C$8))</f>
        <v>1.03</v>
      </c>
      <c r="R210" s="144" t="n">
        <f aca="false">(1+Assumptions!$F$193)^(Assumptions!R$206-YEAR(Assumptions!$C$8))</f>
        <v>1.03</v>
      </c>
      <c r="S210" s="144" t="n">
        <f aca="false">(1+Assumptions!$F$193)^(Assumptions!S$206-YEAR(Assumptions!$C$8))</f>
        <v>1.03</v>
      </c>
      <c r="T210" s="144" t="n">
        <f aca="false">(1+Assumptions!$F$193)^(Assumptions!T$206-YEAR(Assumptions!$C$8))</f>
        <v>1.03</v>
      </c>
      <c r="U210" s="144" t="n">
        <f aca="false">(1+Assumptions!$F$193)^(Assumptions!U$206-YEAR(Assumptions!$C$8))</f>
        <v>1.03</v>
      </c>
      <c r="V210" s="144" t="n">
        <f aca="false">(1+Assumptions!$F$193)^(Assumptions!V$206-YEAR(Assumptions!$C$8))</f>
        <v>1.03</v>
      </c>
      <c r="W210" s="144" t="n">
        <f aca="false">(1+Assumptions!$F$193)^(Assumptions!W$206-YEAR(Assumptions!$C$8))</f>
        <v>1.03</v>
      </c>
      <c r="X210" s="144" t="n">
        <f aca="false">(1+Assumptions!$F$193)^(Assumptions!X$206-YEAR(Assumptions!$C$8))</f>
        <v>1.03</v>
      </c>
      <c r="Y210" s="144" t="n">
        <f aca="false">(1+Assumptions!$F$193)^(Assumptions!Y$206-YEAR(Assumptions!$C$8))</f>
        <v>1.03</v>
      </c>
      <c r="Z210" s="144" t="n">
        <f aca="false">(1+Assumptions!$F$193)^(Assumptions!Z$206-YEAR(Assumptions!$C$8))</f>
        <v>1.03</v>
      </c>
      <c r="AA210" s="144" t="n">
        <f aca="false">(1+Assumptions!$F$193)^(Assumptions!AA$206-YEAR(Assumptions!$C$8))</f>
        <v>1.03</v>
      </c>
      <c r="AB210" s="144" t="n">
        <f aca="false">(1+Assumptions!$F$193)^(Assumptions!AB$206-YEAR(Assumptions!$C$8))</f>
        <v>1.03</v>
      </c>
    </row>
    <row r="211" customFormat="false" ht="15" hidden="false" customHeight="false" outlineLevel="0" collapsed="false">
      <c r="A211" s="28" t="s">
        <v>1972</v>
      </c>
      <c r="E211" s="144" t="n">
        <f aca="false">(1+Assumptions!$C$172)^(Assumptions!E$206-YEAR(Assumptions!$C$8))</f>
        <v>1</v>
      </c>
      <c r="F211" s="144" t="n">
        <f aca="false">(1+Assumptions!$C$172)^(Assumptions!F$206-YEAR(Assumptions!$C$8))</f>
        <v>1</v>
      </c>
      <c r="G211" s="144" t="n">
        <f aca="false">(1+Assumptions!$C$172)^(Assumptions!G$206-YEAR(Assumptions!$C$8))</f>
        <v>1</v>
      </c>
      <c r="H211" s="144" t="n">
        <f aca="false">(1+Assumptions!$C$172)^(Assumptions!H$206-YEAR(Assumptions!$C$8))</f>
        <v>1</v>
      </c>
      <c r="I211" s="144" t="n">
        <f aca="false">(1+Assumptions!$C$172)^(Assumptions!I$206-YEAR(Assumptions!$C$8))</f>
        <v>1</v>
      </c>
      <c r="J211" s="144" t="n">
        <f aca="false">(1+Assumptions!$C$172)^(Assumptions!J$206-YEAR(Assumptions!$C$8))</f>
        <v>1</v>
      </c>
      <c r="K211" s="144" t="n">
        <f aca="false">(1+Assumptions!$C$172)^(Assumptions!K$206-YEAR(Assumptions!$C$8))</f>
        <v>1</v>
      </c>
      <c r="L211" s="144" t="n">
        <f aca="false">(1+Assumptions!$C$172)^(Assumptions!L$206-YEAR(Assumptions!$C$8))</f>
        <v>1</v>
      </c>
      <c r="M211" s="144" t="n">
        <f aca="false">(1+Assumptions!$C$172)^(Assumptions!M$206-YEAR(Assumptions!$C$8))</f>
        <v>1</v>
      </c>
      <c r="N211" s="144" t="n">
        <f aca="false">(1+Assumptions!$C$172)^(Assumptions!N$206-YEAR(Assumptions!$C$8))</f>
        <v>1</v>
      </c>
      <c r="O211" s="144" t="n">
        <f aca="false">(1+Assumptions!$C$172)^(Assumptions!O$206-YEAR(Assumptions!$C$8))</f>
        <v>1</v>
      </c>
      <c r="P211" s="144" t="n">
        <f aca="false">(1+Assumptions!$C$172)^(Assumptions!P$206-YEAR(Assumptions!$C$8))</f>
        <v>1</v>
      </c>
      <c r="Q211" s="144" t="n">
        <f aca="false">(1+Assumptions!$C$172)^(Assumptions!Q$206-YEAR(Assumptions!$C$8))</f>
        <v>1.025</v>
      </c>
      <c r="R211" s="144" t="n">
        <f aca="false">(1+Assumptions!$C$172)^(Assumptions!R$206-YEAR(Assumptions!$C$8))</f>
        <v>1.025</v>
      </c>
      <c r="S211" s="144" t="n">
        <f aca="false">(1+Assumptions!$C$172)^(Assumptions!S$206-YEAR(Assumptions!$C$8))</f>
        <v>1.025</v>
      </c>
      <c r="T211" s="144" t="n">
        <f aca="false">(1+Assumptions!$C$172)^(Assumptions!T$206-YEAR(Assumptions!$C$8))</f>
        <v>1.025</v>
      </c>
      <c r="U211" s="144" t="n">
        <f aca="false">(1+Assumptions!$C$172)^(Assumptions!U$206-YEAR(Assumptions!$C$8))</f>
        <v>1.025</v>
      </c>
      <c r="V211" s="144" t="n">
        <f aca="false">(1+Assumptions!$C$172)^(Assumptions!V$206-YEAR(Assumptions!$C$8))</f>
        <v>1.025</v>
      </c>
      <c r="W211" s="144" t="n">
        <f aca="false">(1+Assumptions!$C$172)^(Assumptions!W$206-YEAR(Assumptions!$C$8))</f>
        <v>1.025</v>
      </c>
      <c r="X211" s="144" t="n">
        <f aca="false">(1+Assumptions!$C$172)^(Assumptions!X$206-YEAR(Assumptions!$C$8))</f>
        <v>1.025</v>
      </c>
      <c r="Y211" s="144" t="n">
        <f aca="false">(1+Assumptions!$C$172)^(Assumptions!Y$206-YEAR(Assumptions!$C$8))</f>
        <v>1.025</v>
      </c>
      <c r="Z211" s="144" t="n">
        <f aca="false">(1+Assumptions!$C$172)^(Assumptions!Z$206-YEAR(Assumptions!$C$8))</f>
        <v>1.025</v>
      </c>
      <c r="AA211" s="144" t="n">
        <f aca="false">(1+Assumptions!$C$172)^(Assumptions!AA$206-YEAR(Assumptions!$C$8))</f>
        <v>1.025</v>
      </c>
      <c r="AB211" s="144" t="n">
        <f aca="false">(1+Assumptions!$C$172)^(Assumptions!AB$206-YEAR(Assumptions!$C$8))</f>
        <v>1.025</v>
      </c>
    </row>
    <row r="212" customFormat="false" ht="15" hidden="false" customHeight="false" outlineLevel="0" collapsed="false">
      <c r="A212" s="28" t="s">
        <v>1973</v>
      </c>
      <c r="E212" s="145" t="n">
        <v>1.1</v>
      </c>
      <c r="F212" s="145" t="n">
        <v>1.05</v>
      </c>
      <c r="G212" s="145" t="n">
        <v>1.08</v>
      </c>
      <c r="H212" s="145" t="n">
        <v>1</v>
      </c>
      <c r="I212" s="145" t="n">
        <v>0.98</v>
      </c>
      <c r="J212" s="145" t="n">
        <v>1</v>
      </c>
      <c r="K212" s="145" t="n">
        <v>0.88</v>
      </c>
      <c r="L212" s="145" t="n">
        <v>0.72</v>
      </c>
      <c r="M212" s="145" t="n">
        <v>1.08</v>
      </c>
      <c r="N212" s="145" t="n">
        <v>1.1</v>
      </c>
      <c r="O212" s="145" t="n">
        <v>1.05</v>
      </c>
      <c r="P212" s="145" t="n">
        <v>0.96</v>
      </c>
      <c r="Q212" s="144" t="n">
        <f aca="false">E212</f>
        <v>1.1</v>
      </c>
      <c r="R212" s="144" t="n">
        <f aca="false">F212</f>
        <v>1.05</v>
      </c>
      <c r="S212" s="144" t="n">
        <f aca="false">G212</f>
        <v>1.08</v>
      </c>
      <c r="T212" s="144" t="n">
        <f aca="false">H212</f>
        <v>1</v>
      </c>
      <c r="U212" s="144" t="n">
        <f aca="false">I212</f>
        <v>0.98</v>
      </c>
      <c r="V212" s="144" t="n">
        <f aca="false">J212</f>
        <v>1</v>
      </c>
      <c r="W212" s="144" t="n">
        <f aca="false">K212</f>
        <v>0.88</v>
      </c>
      <c r="X212" s="144" t="n">
        <f aca="false">L212</f>
        <v>0.72</v>
      </c>
      <c r="Y212" s="144" t="n">
        <f aca="false">M212</f>
        <v>1.08</v>
      </c>
      <c r="Z212" s="144" t="n">
        <f aca="false">N212</f>
        <v>1.1</v>
      </c>
      <c r="AA212" s="144" t="n">
        <f aca="false">O212</f>
        <v>1.05</v>
      </c>
      <c r="AB212" s="144" t="n">
        <f aca="false">P212</f>
        <v>0.96</v>
      </c>
    </row>
    <row r="213" customFormat="false" ht="15" hidden="false" customHeight="false" outlineLevel="0" collapsed="false">
      <c r="A213" s="28" t="s">
        <v>1974</v>
      </c>
      <c r="E213" s="144" t="n">
        <f aca="false">SQRT(Assumptions!E$212)</f>
        <v>1.04880884817015</v>
      </c>
      <c r="F213" s="144" t="n">
        <f aca="false">SQRT(Assumptions!F$212)</f>
        <v>1.02469507659596</v>
      </c>
      <c r="G213" s="144" t="n">
        <f aca="false">SQRT(Assumptions!G$212)</f>
        <v>1.03923048454133</v>
      </c>
      <c r="H213" s="144" t="n">
        <f aca="false">SQRT(Assumptions!H$212)</f>
        <v>1</v>
      </c>
      <c r="I213" s="144" t="n">
        <f aca="false">SQRT(Assumptions!I$212)</f>
        <v>0.989949493661167</v>
      </c>
      <c r="J213" s="144" t="n">
        <f aca="false">SQRT(Assumptions!J$212)</f>
        <v>1</v>
      </c>
      <c r="K213" s="144" t="n">
        <f aca="false">SQRT(Assumptions!K$212)</f>
        <v>0.938083151964686</v>
      </c>
      <c r="L213" s="144" t="n">
        <f aca="false">SQRT(Assumptions!L$212)</f>
        <v>0.848528137423857</v>
      </c>
      <c r="M213" s="144" t="n">
        <f aca="false">SQRT(Assumptions!M$212)</f>
        <v>1.03923048454133</v>
      </c>
      <c r="N213" s="144" t="n">
        <f aca="false">SQRT(Assumptions!N$212)</f>
        <v>1.04880884817015</v>
      </c>
      <c r="O213" s="144" t="n">
        <f aca="false">SQRT(Assumptions!O$212)</f>
        <v>1.02469507659596</v>
      </c>
      <c r="P213" s="144" t="n">
        <f aca="false">SQRT(Assumptions!P$212)</f>
        <v>0.979795897113271</v>
      </c>
      <c r="Q213" s="144" t="n">
        <f aca="false">SQRT(Assumptions!Q$212)</f>
        <v>1.04880884817015</v>
      </c>
      <c r="R213" s="144" t="n">
        <f aca="false">SQRT(Assumptions!R$212)</f>
        <v>1.02469507659596</v>
      </c>
      <c r="S213" s="144" t="n">
        <f aca="false">SQRT(Assumptions!S$212)</f>
        <v>1.03923048454133</v>
      </c>
      <c r="T213" s="144" t="n">
        <f aca="false">SQRT(Assumptions!T$212)</f>
        <v>1</v>
      </c>
      <c r="U213" s="144" t="n">
        <f aca="false">SQRT(Assumptions!U$212)</f>
        <v>0.989949493661167</v>
      </c>
      <c r="V213" s="144" t="n">
        <f aca="false">SQRT(Assumptions!V$212)</f>
        <v>1</v>
      </c>
      <c r="W213" s="144" t="n">
        <f aca="false">SQRT(Assumptions!W$212)</f>
        <v>0.938083151964686</v>
      </c>
      <c r="X213" s="144" t="n">
        <f aca="false">SQRT(Assumptions!X$212)</f>
        <v>0.848528137423857</v>
      </c>
      <c r="Y213" s="144" t="n">
        <f aca="false">SQRT(Assumptions!Y$212)</f>
        <v>1.03923048454133</v>
      </c>
      <c r="Z213" s="144" t="n">
        <f aca="false">SQRT(Assumptions!Z$212)</f>
        <v>1.04880884817015</v>
      </c>
      <c r="AA213" s="144" t="n">
        <f aca="false">SQRT(Assumptions!AA$212)</f>
        <v>1.02469507659596</v>
      </c>
      <c r="AB213" s="144" t="n">
        <f aca="false">SQRT(Assumptions!AB$212)</f>
        <v>0.979795897113271</v>
      </c>
    </row>
    <row r="214" customFormat="false" ht="15" hidden="false" customHeight="false" outlineLevel="0" collapsed="false">
      <c r="A214" s="28" t="s">
        <v>1975</v>
      </c>
      <c r="E214" s="146" t="n">
        <v>0.04</v>
      </c>
      <c r="F214" s="146" t="n">
        <v>0.08</v>
      </c>
      <c r="G214" s="146" t="n">
        <v>0.04</v>
      </c>
      <c r="H214" s="146" t="n">
        <v>0.08</v>
      </c>
      <c r="I214" s="146" t="n">
        <v>0.09</v>
      </c>
      <c r="J214" s="146" t="n">
        <v>0.05</v>
      </c>
      <c r="K214" s="146" t="n">
        <v>0.16</v>
      </c>
      <c r="L214" s="146" t="n">
        <v>0.28</v>
      </c>
      <c r="M214" s="146" t="n">
        <v>0.03</v>
      </c>
      <c r="N214" s="146" t="n">
        <v>0.05</v>
      </c>
      <c r="O214" s="146" t="n">
        <v>0.03</v>
      </c>
      <c r="P214" s="146" t="n">
        <v>0.07</v>
      </c>
      <c r="Q214" s="147" t="n">
        <f aca="false">E214</f>
        <v>0.04</v>
      </c>
      <c r="R214" s="147" t="n">
        <f aca="false">F214</f>
        <v>0.08</v>
      </c>
      <c r="S214" s="147" t="n">
        <f aca="false">G214</f>
        <v>0.04</v>
      </c>
      <c r="T214" s="147" t="n">
        <f aca="false">H214</f>
        <v>0.08</v>
      </c>
      <c r="U214" s="147" t="n">
        <f aca="false">I214</f>
        <v>0.09</v>
      </c>
      <c r="V214" s="147" t="n">
        <f aca="false">J214</f>
        <v>0.05</v>
      </c>
      <c r="W214" s="147" t="n">
        <f aca="false">K214</f>
        <v>0.16</v>
      </c>
      <c r="X214" s="147" t="n">
        <f aca="false">L214</f>
        <v>0.28</v>
      </c>
      <c r="Y214" s="147" t="n">
        <f aca="false">M214</f>
        <v>0.03</v>
      </c>
      <c r="Z214" s="147" t="n">
        <f aca="false">N214</f>
        <v>0.05</v>
      </c>
      <c r="AA214" s="147" t="n">
        <f aca="false">O214</f>
        <v>0.03</v>
      </c>
      <c r="AB214" s="147" t="n">
        <f aca="false">P214</f>
        <v>0.07</v>
      </c>
    </row>
    <row r="215" customFormat="false" ht="15" hidden="false" customHeight="false" outlineLevel="0" collapsed="false">
      <c r="A215" s="28" t="s">
        <v>1976</v>
      </c>
      <c r="E215" s="144" t="n">
        <f aca="false">IF(Assumptions!E$206=2026,1,1-Assumptions!$F$186)</f>
        <v>1</v>
      </c>
      <c r="F215" s="144" t="n">
        <f aca="false">IF(Assumptions!F$206=2026,1,1-Assumptions!$F$186)</f>
        <v>1</v>
      </c>
      <c r="G215" s="144" t="n">
        <f aca="false">IF(Assumptions!G$206=2026,1,1-Assumptions!$F$186)</f>
        <v>1</v>
      </c>
      <c r="H215" s="144" t="n">
        <f aca="false">IF(Assumptions!H$206=2026,1,1-Assumptions!$F$186)</f>
        <v>1</v>
      </c>
      <c r="I215" s="144" t="n">
        <f aca="false">IF(Assumptions!I$206=2026,1,1-Assumptions!$F$186)</f>
        <v>1</v>
      </c>
      <c r="J215" s="144" t="n">
        <f aca="false">IF(Assumptions!J$206=2026,1,1-Assumptions!$F$186)</f>
        <v>1</v>
      </c>
      <c r="K215" s="144" t="n">
        <f aca="false">IF(Assumptions!K$206=2026,1,1-Assumptions!$F$186)</f>
        <v>1</v>
      </c>
      <c r="L215" s="144" t="n">
        <f aca="false">IF(Assumptions!L$206=2026,1,1-Assumptions!$F$186)</f>
        <v>1</v>
      </c>
      <c r="M215" s="144" t="n">
        <f aca="false">IF(Assumptions!M$206=2026,1,1-Assumptions!$F$186)</f>
        <v>1</v>
      </c>
      <c r="N215" s="144" t="n">
        <f aca="false">IF(Assumptions!N$206=2026,1,1-Assumptions!$F$186)</f>
        <v>1</v>
      </c>
      <c r="O215" s="144" t="n">
        <f aca="false">IF(Assumptions!O$206=2026,1,1-Assumptions!$F$186)</f>
        <v>1</v>
      </c>
      <c r="P215" s="144" t="n">
        <f aca="false">IF(Assumptions!P$206=2026,1,1-Assumptions!$F$186)</f>
        <v>1</v>
      </c>
      <c r="Q215" s="144" t="n">
        <f aca="false">IF(Assumptions!Q$206=2026,1,1-Assumptions!$F$186)</f>
        <v>0.9</v>
      </c>
      <c r="R215" s="144" t="n">
        <f aca="false">IF(Assumptions!R$206=2026,1,1-Assumptions!$F$186)</f>
        <v>0.9</v>
      </c>
      <c r="S215" s="144" t="n">
        <f aca="false">IF(Assumptions!S$206=2026,1,1-Assumptions!$F$186)</f>
        <v>0.9</v>
      </c>
      <c r="T215" s="144" t="n">
        <f aca="false">IF(Assumptions!T$206=2026,1,1-Assumptions!$F$186)</f>
        <v>0.9</v>
      </c>
      <c r="U215" s="144" t="n">
        <f aca="false">IF(Assumptions!U$206=2026,1,1-Assumptions!$F$186)</f>
        <v>0.9</v>
      </c>
      <c r="V215" s="144" t="n">
        <f aca="false">IF(Assumptions!V$206=2026,1,1-Assumptions!$F$186)</f>
        <v>0.9</v>
      </c>
      <c r="W215" s="144" t="n">
        <f aca="false">IF(Assumptions!W$206=2026,1,1-Assumptions!$F$186)</f>
        <v>0.9</v>
      </c>
      <c r="X215" s="144" t="n">
        <f aca="false">IF(Assumptions!X$206=2026,1,1-Assumptions!$F$186)</f>
        <v>0.9</v>
      </c>
      <c r="Y215" s="144" t="n">
        <f aca="false">IF(Assumptions!Y$206=2026,1,1-Assumptions!$F$186)</f>
        <v>0.9</v>
      </c>
      <c r="Z215" s="144" t="n">
        <f aca="false">IF(Assumptions!Z$206=2026,1,1-Assumptions!$F$186)</f>
        <v>0.9</v>
      </c>
      <c r="AA215" s="144" t="n">
        <f aca="false">IF(Assumptions!AA$206=2026,1,1-Assumptions!$F$186)</f>
        <v>0.9</v>
      </c>
      <c r="AB215" s="144" t="n">
        <f aca="false">IF(Assumptions!AB$206=2026,1,1-Assumptions!$F$186)</f>
        <v>0.9</v>
      </c>
    </row>
    <row r="216" customFormat="false" ht="15" hidden="false" customHeight="false" outlineLevel="0" collapsed="false">
      <c r="A216" s="28" t="s">
        <v>1977</v>
      </c>
      <c r="E216" s="148" t="n">
        <v>1.1737</v>
      </c>
      <c r="F216" s="148" t="n">
        <v>1.1823</v>
      </c>
      <c r="G216" s="148" t="n">
        <v>1.1558</v>
      </c>
      <c r="H216" s="148" t="n">
        <v>1.1705</v>
      </c>
      <c r="I216" s="148" t="n">
        <v>1.1673</v>
      </c>
      <c r="J216" s="148" t="n">
        <v>1.1517</v>
      </c>
      <c r="K216" s="148" t="n">
        <v>1.1417</v>
      </c>
      <c r="L216" s="148" t="n">
        <v>1.1593</v>
      </c>
      <c r="M216" s="149" t="n">
        <f aca="false">Assumptions!$F$191</f>
        <v>1.1463</v>
      </c>
      <c r="N216" s="149" t="n">
        <f aca="false">Assumptions!$F$191</f>
        <v>1.1463</v>
      </c>
      <c r="O216" s="149" t="n">
        <f aca="false">Assumptions!$F$191</f>
        <v>1.1463</v>
      </c>
      <c r="P216" s="149" t="n">
        <f aca="false">Assumptions!$F$191</f>
        <v>1.1463</v>
      </c>
      <c r="Q216" s="149" t="n">
        <f aca="false">Assumptions!$F$191</f>
        <v>1.1463</v>
      </c>
      <c r="R216" s="149" t="n">
        <f aca="false">Assumptions!$F$191</f>
        <v>1.1463</v>
      </c>
      <c r="S216" s="149" t="n">
        <f aca="false">Assumptions!$F$191</f>
        <v>1.1463</v>
      </c>
      <c r="T216" s="149" t="n">
        <f aca="false">Assumptions!$F$191</f>
        <v>1.1463</v>
      </c>
      <c r="U216" s="149" t="n">
        <f aca="false">Assumptions!$F$191</f>
        <v>1.1463</v>
      </c>
      <c r="V216" s="149" t="n">
        <f aca="false">Assumptions!$F$191</f>
        <v>1.1463</v>
      </c>
      <c r="W216" s="149" t="n">
        <f aca="false">Assumptions!$F$191</f>
        <v>1.1463</v>
      </c>
      <c r="X216" s="149" t="n">
        <f aca="false">Assumptions!$F$191</f>
        <v>1.1463</v>
      </c>
      <c r="Y216" s="149" t="n">
        <f aca="false">Assumptions!$F$191</f>
        <v>1.1463</v>
      </c>
      <c r="Z216" s="149" t="n">
        <f aca="false">Assumptions!$F$191</f>
        <v>1.1463</v>
      </c>
      <c r="AA216" s="149" t="n">
        <f aca="false">Assumptions!$F$191</f>
        <v>1.1463</v>
      </c>
      <c r="AB216" s="149" t="n">
        <f aca="false">Assumptions!$F$191</f>
        <v>1.1463</v>
      </c>
    </row>
    <row r="217" customFormat="false" ht="15" hidden="false" customHeight="false" outlineLevel="0" collapsed="false">
      <c r="A217" s="28" t="s">
        <v>1978</v>
      </c>
      <c r="E217" s="148" t="n">
        <v>0.98</v>
      </c>
      <c r="F217" s="148" t="n">
        <v>0.98</v>
      </c>
      <c r="G217" s="148" t="n">
        <v>0.98</v>
      </c>
      <c r="H217" s="148" t="n">
        <v>0.9604</v>
      </c>
      <c r="I217" s="148" t="n">
        <v>0.9604</v>
      </c>
      <c r="J217" s="148" t="n">
        <v>0.9604</v>
      </c>
      <c r="K217" s="148" t="n">
        <v>0.9412</v>
      </c>
      <c r="L217" s="148" t="n">
        <v>0.9412</v>
      </c>
      <c r="M217" s="149" t="n">
        <f aca="false">IF(MOD(Assumptions!M$207-1,3)=0,L217*(1-Assumptions!$F$188),L217)</f>
        <v>0.9412</v>
      </c>
      <c r="N217" s="149" t="n">
        <f aca="false">IF(MOD(Assumptions!N$207-1,3)=0,M217*(1-Assumptions!$F$188),M217)</f>
        <v>0.912964</v>
      </c>
      <c r="O217" s="149" t="n">
        <f aca="false">IF(MOD(Assumptions!O$207-1,3)=0,N217*(1-Assumptions!$F$188),N217)</f>
        <v>0.912964</v>
      </c>
      <c r="P217" s="149" t="n">
        <f aca="false">IF(MOD(Assumptions!P$207-1,3)=0,O217*(1-Assumptions!$F$188),O217)</f>
        <v>0.912964</v>
      </c>
      <c r="Q217" s="149" t="n">
        <f aca="false">IF(MOD(Assumptions!Q$207-1,3)=0,P217*(1-Assumptions!$F$188),P217)</f>
        <v>0.88557508</v>
      </c>
      <c r="R217" s="149" t="n">
        <f aca="false">IF(MOD(Assumptions!R$207-1,3)=0,Q217*(1-Assumptions!$F$188),Q217)</f>
        <v>0.88557508</v>
      </c>
      <c r="S217" s="149" t="n">
        <f aca="false">IF(MOD(Assumptions!S$207-1,3)=0,R217*(1-Assumptions!$F$188),R217)</f>
        <v>0.88557508</v>
      </c>
      <c r="T217" s="149" t="n">
        <f aca="false">IF(MOD(Assumptions!T$207-1,3)=0,S217*(1-Assumptions!$F$188),S217)</f>
        <v>0.8590078276</v>
      </c>
      <c r="U217" s="149" t="n">
        <f aca="false">IF(MOD(Assumptions!U$207-1,3)=0,T217*(1-Assumptions!$F$188),T217)</f>
        <v>0.8590078276</v>
      </c>
      <c r="V217" s="149" t="n">
        <f aca="false">IF(MOD(Assumptions!V$207-1,3)=0,U217*(1-Assumptions!$F$188),U217)</f>
        <v>0.8590078276</v>
      </c>
      <c r="W217" s="149" t="n">
        <f aca="false">IF(MOD(Assumptions!W$207-1,3)=0,V217*(1-Assumptions!$F$188),V217)</f>
        <v>0.833237592772</v>
      </c>
      <c r="X217" s="149" t="n">
        <f aca="false">IF(MOD(Assumptions!X$207-1,3)=0,W217*(1-Assumptions!$F$188),W217)</f>
        <v>0.833237592772</v>
      </c>
      <c r="Y217" s="149" t="n">
        <f aca="false">IF(MOD(Assumptions!Y$207-1,3)=0,X217*(1-Assumptions!$F$188),X217)</f>
        <v>0.833237592772</v>
      </c>
      <c r="Z217" s="149" t="n">
        <f aca="false">IF(MOD(Assumptions!Z$207-1,3)=0,Y217*(1-Assumptions!$F$188),Y217)</f>
        <v>0.80824046498884</v>
      </c>
      <c r="AA217" s="149" t="n">
        <f aca="false">IF(MOD(Assumptions!AA$207-1,3)=0,Z217*(1-Assumptions!$F$188),Z217)</f>
        <v>0.80824046498884</v>
      </c>
      <c r="AB217" s="149" t="n">
        <f aca="false">IF(MOD(Assumptions!AB$207-1,3)=0,AA217*(1-Assumptions!$F$188),AA217)</f>
        <v>0.80824046498884</v>
      </c>
    </row>
    <row r="218" customFormat="false" ht="15" hidden="false" customHeight="false" outlineLevel="0" collapsed="false">
      <c r="A218" s="28" t="s">
        <v>1979</v>
      </c>
      <c r="E218" s="150" t="n">
        <v>2</v>
      </c>
      <c r="F218" s="150" t="n">
        <v>2</v>
      </c>
      <c r="G218" s="150" t="n">
        <v>2</v>
      </c>
      <c r="H218" s="150" t="n">
        <v>2</v>
      </c>
      <c r="I218" s="150" t="n">
        <v>2</v>
      </c>
      <c r="J218" s="150" t="n">
        <v>2</v>
      </c>
      <c r="K218" s="150" t="n">
        <v>2</v>
      </c>
      <c r="L218" s="150" t="n">
        <v>2</v>
      </c>
      <c r="M218" s="151" t="n">
        <f aca="false">IF(Assumptions!M$203&gt;=DATE(2026,10,31),Assumptions!$F$187,Assumptions!$C$150)</f>
        <v>2</v>
      </c>
      <c r="N218" s="151" t="n">
        <f aca="false">IF(Assumptions!N$203&gt;=DATE(2026,10,31),Assumptions!$F$187,Assumptions!$C$150)</f>
        <v>1.5</v>
      </c>
      <c r="O218" s="151" t="n">
        <f aca="false">IF(Assumptions!O$203&gt;=DATE(2026,10,31),Assumptions!$F$187,Assumptions!$C$150)</f>
        <v>1.5</v>
      </c>
      <c r="P218" s="151" t="n">
        <f aca="false">IF(Assumptions!P$203&gt;=DATE(2026,10,31),Assumptions!$F$187,Assumptions!$C$150)</f>
        <v>1.5</v>
      </c>
      <c r="Q218" s="151" t="n">
        <f aca="false">IF(Assumptions!Q$203&gt;=DATE(2026,10,31),Assumptions!$F$187,Assumptions!$C$150)</f>
        <v>1.5</v>
      </c>
      <c r="R218" s="151" t="n">
        <f aca="false">IF(Assumptions!R$203&gt;=DATE(2026,10,31),Assumptions!$F$187,Assumptions!$C$150)</f>
        <v>1.5</v>
      </c>
      <c r="S218" s="151" t="n">
        <f aca="false">IF(Assumptions!S$203&gt;=DATE(2026,10,31),Assumptions!$F$187,Assumptions!$C$150)</f>
        <v>1.5</v>
      </c>
      <c r="T218" s="151" t="n">
        <f aca="false">IF(Assumptions!T$203&gt;=DATE(2026,10,31),Assumptions!$F$187,Assumptions!$C$150)</f>
        <v>1.5</v>
      </c>
      <c r="U218" s="151" t="n">
        <f aca="false">IF(Assumptions!U$203&gt;=DATE(2026,10,31),Assumptions!$F$187,Assumptions!$C$150)</f>
        <v>1.5</v>
      </c>
      <c r="V218" s="151" t="n">
        <f aca="false">IF(Assumptions!V$203&gt;=DATE(2026,10,31),Assumptions!$F$187,Assumptions!$C$150)</f>
        <v>1.5</v>
      </c>
      <c r="W218" s="151" t="n">
        <f aca="false">IF(Assumptions!W$203&gt;=DATE(2026,10,31),Assumptions!$F$187,Assumptions!$C$150)</f>
        <v>1.5</v>
      </c>
      <c r="X218" s="151" t="n">
        <f aca="false">IF(Assumptions!X$203&gt;=DATE(2026,10,31),Assumptions!$F$187,Assumptions!$C$150)</f>
        <v>1.5</v>
      </c>
      <c r="Y218" s="151" t="n">
        <f aca="false">IF(Assumptions!Y$203&gt;=DATE(2026,10,31),Assumptions!$F$187,Assumptions!$C$150)</f>
        <v>1.5</v>
      </c>
      <c r="Z218" s="151" t="n">
        <f aca="false">IF(Assumptions!Z$203&gt;=DATE(2026,10,31),Assumptions!$F$187,Assumptions!$C$150)</f>
        <v>1.5</v>
      </c>
      <c r="AA218" s="151" t="n">
        <f aca="false">IF(Assumptions!AA$203&gt;=DATE(2026,10,31),Assumptions!$F$187,Assumptions!$C$150)</f>
        <v>1.5</v>
      </c>
      <c r="AB218" s="151" t="n">
        <f aca="false">IF(Assumptions!AB$203&gt;=DATE(2026,10,31),Assumptions!$F$187,Assumptions!$C$150)</f>
        <v>1.5</v>
      </c>
    </row>
    <row r="219" customFormat="false" ht="15" hidden="false" customHeight="false" outlineLevel="0" collapsed="false">
      <c r="A219" s="28" t="s">
        <v>1011</v>
      </c>
      <c r="E219" s="142" t="n">
        <f aca="false">IF(Assumptions!E$206=2026,Assumptions!$C$159,Assumptions!$F$189)</f>
        <v>16</v>
      </c>
      <c r="F219" s="142" t="n">
        <f aca="false">IF(Assumptions!F$206=2026,Assumptions!$C$159,Assumptions!$F$189)</f>
        <v>16</v>
      </c>
      <c r="G219" s="142" t="n">
        <f aca="false">IF(Assumptions!G$206=2026,Assumptions!$C$159,Assumptions!$F$189)</f>
        <v>16</v>
      </c>
      <c r="H219" s="142" t="n">
        <f aca="false">IF(Assumptions!H$206=2026,Assumptions!$C$159,Assumptions!$F$189)</f>
        <v>16</v>
      </c>
      <c r="I219" s="142" t="n">
        <f aca="false">IF(Assumptions!I$206=2026,Assumptions!$C$159,Assumptions!$F$189)</f>
        <v>16</v>
      </c>
      <c r="J219" s="142" t="n">
        <f aca="false">IF(Assumptions!J$206=2026,Assumptions!$C$159,Assumptions!$F$189)</f>
        <v>16</v>
      </c>
      <c r="K219" s="142" t="n">
        <f aca="false">IF(Assumptions!K$206=2026,Assumptions!$C$159,Assumptions!$F$189)</f>
        <v>16</v>
      </c>
      <c r="L219" s="142" t="n">
        <f aca="false">IF(Assumptions!L$206=2026,Assumptions!$C$159,Assumptions!$F$189)</f>
        <v>16</v>
      </c>
      <c r="M219" s="142" t="n">
        <f aca="false">IF(Assumptions!M$206=2026,Assumptions!$C$159,Assumptions!$F$189)</f>
        <v>16</v>
      </c>
      <c r="N219" s="142" t="n">
        <f aca="false">IF(Assumptions!N$206=2026,Assumptions!$C$159,Assumptions!$F$189)</f>
        <v>16</v>
      </c>
      <c r="O219" s="142" t="n">
        <f aca="false">IF(Assumptions!O$206=2026,Assumptions!$C$159,Assumptions!$F$189)</f>
        <v>16</v>
      </c>
      <c r="P219" s="142" t="n">
        <f aca="false">IF(Assumptions!P$206=2026,Assumptions!$C$159,Assumptions!$F$189)</f>
        <v>16</v>
      </c>
      <c r="Q219" s="142" t="n">
        <f aca="false">IF(Assumptions!Q$206=2026,Assumptions!$C$159,Assumptions!$F$189)</f>
        <v>20</v>
      </c>
      <c r="R219" s="142" t="n">
        <f aca="false">IF(Assumptions!R$206=2026,Assumptions!$C$159,Assumptions!$F$189)</f>
        <v>20</v>
      </c>
      <c r="S219" s="142" t="n">
        <f aca="false">IF(Assumptions!S$206=2026,Assumptions!$C$159,Assumptions!$F$189)</f>
        <v>20</v>
      </c>
      <c r="T219" s="142" t="n">
        <f aca="false">IF(Assumptions!T$206=2026,Assumptions!$C$159,Assumptions!$F$189)</f>
        <v>20</v>
      </c>
      <c r="U219" s="142" t="n">
        <f aca="false">IF(Assumptions!U$206=2026,Assumptions!$C$159,Assumptions!$F$189)</f>
        <v>20</v>
      </c>
      <c r="V219" s="142" t="n">
        <f aca="false">IF(Assumptions!V$206=2026,Assumptions!$C$159,Assumptions!$F$189)</f>
        <v>20</v>
      </c>
      <c r="W219" s="142" t="n">
        <f aca="false">IF(Assumptions!W$206=2026,Assumptions!$C$159,Assumptions!$F$189)</f>
        <v>20</v>
      </c>
      <c r="X219" s="142" t="n">
        <f aca="false">IF(Assumptions!X$206=2026,Assumptions!$C$159,Assumptions!$F$189)</f>
        <v>20</v>
      </c>
      <c r="Y219" s="142" t="n">
        <f aca="false">IF(Assumptions!Y$206=2026,Assumptions!$C$159,Assumptions!$F$189)</f>
        <v>20</v>
      </c>
      <c r="Z219" s="142" t="n">
        <f aca="false">IF(Assumptions!Z$206=2026,Assumptions!$C$159,Assumptions!$F$189)</f>
        <v>20</v>
      </c>
      <c r="AA219" s="142" t="n">
        <f aca="false">IF(Assumptions!AA$206=2026,Assumptions!$C$159,Assumptions!$F$189)</f>
        <v>20</v>
      </c>
      <c r="AB219" s="142" t="n">
        <f aca="false">IF(Assumptions!AB$206=2026,Assumptions!$C$159,Assumptions!$F$189)</f>
        <v>20</v>
      </c>
    </row>
    <row r="220" customFormat="false" ht="15" hidden="false" customHeight="false" outlineLevel="0" collapsed="false">
      <c r="A220" s="28" t="s">
        <v>1980</v>
      </c>
      <c r="E220" s="142" t="n">
        <f aca="false">Assumptions!E$208*24</f>
        <v>744</v>
      </c>
      <c r="F220" s="142" t="n">
        <f aca="false">Assumptions!F$208*24</f>
        <v>672</v>
      </c>
      <c r="G220" s="142" t="n">
        <f aca="false">Assumptions!G$208*24</f>
        <v>744</v>
      </c>
      <c r="H220" s="142" t="n">
        <f aca="false">Assumptions!H$208*24</f>
        <v>720</v>
      </c>
      <c r="I220" s="142" t="n">
        <f aca="false">Assumptions!I$208*24</f>
        <v>744</v>
      </c>
      <c r="J220" s="142" t="n">
        <f aca="false">Assumptions!J$208*24</f>
        <v>720</v>
      </c>
      <c r="K220" s="142" t="n">
        <f aca="false">Assumptions!K$208*24</f>
        <v>744</v>
      </c>
      <c r="L220" s="142" t="n">
        <f aca="false">Assumptions!L$208*24</f>
        <v>744</v>
      </c>
      <c r="M220" s="142" t="n">
        <f aca="false">Assumptions!M$208*24</f>
        <v>720</v>
      </c>
      <c r="N220" s="142" t="n">
        <f aca="false">Assumptions!N$208*24</f>
        <v>744</v>
      </c>
      <c r="O220" s="142" t="n">
        <f aca="false">Assumptions!O$208*24</f>
        <v>720</v>
      </c>
      <c r="P220" s="142" t="n">
        <f aca="false">Assumptions!P$208*24</f>
        <v>744</v>
      </c>
      <c r="Q220" s="142" t="n">
        <f aca="false">Assumptions!Q$208*24</f>
        <v>744</v>
      </c>
      <c r="R220" s="142" t="n">
        <f aca="false">Assumptions!R$208*24</f>
        <v>672</v>
      </c>
      <c r="S220" s="142" t="n">
        <f aca="false">Assumptions!S$208*24</f>
        <v>744</v>
      </c>
      <c r="T220" s="142" t="n">
        <f aca="false">Assumptions!T$208*24</f>
        <v>720</v>
      </c>
      <c r="U220" s="142" t="n">
        <f aca="false">Assumptions!U$208*24</f>
        <v>744</v>
      </c>
      <c r="V220" s="142" t="n">
        <f aca="false">Assumptions!V$208*24</f>
        <v>720</v>
      </c>
      <c r="W220" s="142" t="n">
        <f aca="false">Assumptions!W$208*24</f>
        <v>744</v>
      </c>
      <c r="X220" s="142" t="n">
        <f aca="false">Assumptions!X$208*24</f>
        <v>744</v>
      </c>
      <c r="Y220" s="142" t="n">
        <f aca="false">Assumptions!Y$208*24</f>
        <v>720</v>
      </c>
      <c r="Z220" s="142" t="n">
        <f aca="false">Assumptions!Z$208*24</f>
        <v>744</v>
      </c>
      <c r="AA220" s="142" t="n">
        <f aca="false">Assumptions!AA$208*24</f>
        <v>720</v>
      </c>
      <c r="AB220" s="142" t="n">
        <f aca="false">Assumptions!AB$208*24</f>
        <v>744</v>
      </c>
    </row>
    <row r="221" customFormat="false" ht="15" hidden="false" customHeight="false" outlineLevel="0" collapsed="false">
      <c r="A221" s="28" t="s">
        <v>1981</v>
      </c>
      <c r="E221" s="152" t="n">
        <f aca="false">IF(Assumptions!E$206=2026,Assumptions!$C$162,Assumptions!$F$190)</f>
        <v>780000</v>
      </c>
      <c r="F221" s="152" t="n">
        <f aca="false">IF(Assumptions!F$206=2026,Assumptions!$C$162,Assumptions!$F$190)</f>
        <v>780000</v>
      </c>
      <c r="G221" s="152" t="n">
        <f aca="false">IF(Assumptions!G$206=2026,Assumptions!$C$162,Assumptions!$F$190)</f>
        <v>780000</v>
      </c>
      <c r="H221" s="152" t="n">
        <f aca="false">IF(Assumptions!H$206=2026,Assumptions!$C$162,Assumptions!$F$190)</f>
        <v>780000</v>
      </c>
      <c r="I221" s="152" t="n">
        <f aca="false">IF(Assumptions!I$206=2026,Assumptions!$C$162,Assumptions!$F$190)</f>
        <v>780000</v>
      </c>
      <c r="J221" s="152" t="n">
        <f aca="false">IF(Assumptions!J$206=2026,Assumptions!$C$162,Assumptions!$F$190)</f>
        <v>780000</v>
      </c>
      <c r="K221" s="152" t="n">
        <f aca="false">IF(Assumptions!K$206=2026,Assumptions!$C$162,Assumptions!$F$190)</f>
        <v>780000</v>
      </c>
      <c r="L221" s="152" t="n">
        <f aca="false">IF(Assumptions!L$206=2026,Assumptions!$C$162,Assumptions!$F$190)</f>
        <v>780000</v>
      </c>
      <c r="M221" s="152" t="n">
        <f aca="false">IF(Assumptions!M$206=2026,Assumptions!$C$162,Assumptions!$F$190)</f>
        <v>780000</v>
      </c>
      <c r="N221" s="152" t="n">
        <f aca="false">IF(Assumptions!N$206=2026,Assumptions!$C$162,Assumptions!$F$190)</f>
        <v>780000</v>
      </c>
      <c r="O221" s="152" t="n">
        <f aca="false">IF(Assumptions!O$206=2026,Assumptions!$C$162,Assumptions!$F$190)</f>
        <v>780000</v>
      </c>
      <c r="P221" s="152" t="n">
        <f aca="false">IF(Assumptions!P$206=2026,Assumptions!$C$162,Assumptions!$F$190)</f>
        <v>780000</v>
      </c>
      <c r="Q221" s="152" t="n">
        <f aca="false">IF(Assumptions!Q$206=2026,Assumptions!$C$162,Assumptions!$F$190)</f>
        <v>800000</v>
      </c>
      <c r="R221" s="152" t="n">
        <f aca="false">IF(Assumptions!R$206=2026,Assumptions!$C$162,Assumptions!$F$190)</f>
        <v>800000</v>
      </c>
      <c r="S221" s="152" t="n">
        <f aca="false">IF(Assumptions!S$206=2026,Assumptions!$C$162,Assumptions!$F$190)</f>
        <v>800000</v>
      </c>
      <c r="T221" s="152" t="n">
        <f aca="false">IF(Assumptions!T$206=2026,Assumptions!$C$162,Assumptions!$F$190)</f>
        <v>800000</v>
      </c>
      <c r="U221" s="152" t="n">
        <f aca="false">IF(Assumptions!U$206=2026,Assumptions!$C$162,Assumptions!$F$190)</f>
        <v>800000</v>
      </c>
      <c r="V221" s="152" t="n">
        <f aca="false">IF(Assumptions!V$206=2026,Assumptions!$C$162,Assumptions!$F$190)</f>
        <v>800000</v>
      </c>
      <c r="W221" s="152" t="n">
        <f aca="false">IF(Assumptions!W$206=2026,Assumptions!$C$162,Assumptions!$F$190)</f>
        <v>800000</v>
      </c>
      <c r="X221" s="152" t="n">
        <f aca="false">IF(Assumptions!X$206=2026,Assumptions!$C$162,Assumptions!$F$190)</f>
        <v>800000</v>
      </c>
      <c r="Y221" s="152" t="n">
        <f aca="false">IF(Assumptions!Y$206=2026,Assumptions!$C$162,Assumptions!$F$190)</f>
        <v>800000</v>
      </c>
      <c r="Z221" s="152" t="n">
        <f aca="false">IF(Assumptions!Z$206=2026,Assumptions!$C$162,Assumptions!$F$190)</f>
        <v>800000</v>
      </c>
      <c r="AA221" s="152" t="n">
        <f aca="false">IF(Assumptions!AA$206=2026,Assumptions!$C$162,Assumptions!$F$190)</f>
        <v>800000</v>
      </c>
      <c r="AB221" s="152" t="n">
        <f aca="false">IF(Assumptions!AB$206=2026,Assumptions!$C$162,Assumptions!$F$190)</f>
        <v>800000</v>
      </c>
    </row>
    <row r="222" customFormat="false" ht="15" hidden="false" customHeight="false" outlineLevel="0" collapsed="false">
      <c r="A222" s="28" t="s">
        <v>1982</v>
      </c>
      <c r="E222" s="151" t="n">
        <f aca="false">IF(Assumptions!E$206=2026,Assumptions!$C$76,Assumptions!$C$77)</f>
        <v>4005</v>
      </c>
      <c r="F222" s="151" t="n">
        <f aca="false">IF(Assumptions!F$206=2026,Assumptions!$C$76,Assumptions!$C$77)</f>
        <v>4005</v>
      </c>
      <c r="G222" s="151" t="n">
        <f aca="false">IF(Assumptions!G$206=2026,Assumptions!$C$76,Assumptions!$C$77)</f>
        <v>4005</v>
      </c>
      <c r="H222" s="151" t="n">
        <f aca="false">IF(Assumptions!H$206=2026,Assumptions!$C$76,Assumptions!$C$77)</f>
        <v>4005</v>
      </c>
      <c r="I222" s="151" t="n">
        <f aca="false">IF(Assumptions!I$206=2026,Assumptions!$C$76,Assumptions!$C$77)</f>
        <v>4005</v>
      </c>
      <c r="J222" s="151" t="n">
        <f aca="false">IF(Assumptions!J$206=2026,Assumptions!$C$76,Assumptions!$C$77)</f>
        <v>4005</v>
      </c>
      <c r="K222" s="151" t="n">
        <f aca="false">IF(Assumptions!K$206=2026,Assumptions!$C$76,Assumptions!$C$77)</f>
        <v>4005</v>
      </c>
      <c r="L222" s="151" t="n">
        <f aca="false">IF(Assumptions!L$206=2026,Assumptions!$C$76,Assumptions!$C$77)</f>
        <v>4005</v>
      </c>
      <c r="M222" s="151" t="n">
        <f aca="false">IF(Assumptions!M$206=2026,Assumptions!$C$76,Assumptions!$C$77)</f>
        <v>4005</v>
      </c>
      <c r="N222" s="151" t="n">
        <f aca="false">IF(Assumptions!N$206=2026,Assumptions!$C$76,Assumptions!$C$77)</f>
        <v>4005</v>
      </c>
      <c r="O222" s="151" t="n">
        <f aca="false">IF(Assumptions!O$206=2026,Assumptions!$C$76,Assumptions!$C$77)</f>
        <v>4005</v>
      </c>
      <c r="P222" s="151" t="n">
        <f aca="false">IF(Assumptions!P$206=2026,Assumptions!$C$76,Assumptions!$C$77)</f>
        <v>4005</v>
      </c>
      <c r="Q222" s="151" t="n">
        <f aca="false">IF(Assumptions!Q$206=2026,Assumptions!$C$76,Assumptions!$C$77)</f>
        <v>4085</v>
      </c>
      <c r="R222" s="151" t="n">
        <f aca="false">IF(Assumptions!R$206=2026,Assumptions!$C$76,Assumptions!$C$77)</f>
        <v>4085</v>
      </c>
      <c r="S222" s="151" t="n">
        <f aca="false">IF(Assumptions!S$206=2026,Assumptions!$C$76,Assumptions!$C$77)</f>
        <v>4085</v>
      </c>
      <c r="T222" s="151" t="n">
        <f aca="false">IF(Assumptions!T$206=2026,Assumptions!$C$76,Assumptions!$C$77)</f>
        <v>4085</v>
      </c>
      <c r="U222" s="151" t="n">
        <f aca="false">IF(Assumptions!U$206=2026,Assumptions!$C$76,Assumptions!$C$77)</f>
        <v>4085</v>
      </c>
      <c r="V222" s="151" t="n">
        <f aca="false">IF(Assumptions!V$206=2026,Assumptions!$C$76,Assumptions!$C$77)</f>
        <v>4085</v>
      </c>
      <c r="W222" s="151" t="n">
        <f aca="false">IF(Assumptions!W$206=2026,Assumptions!$C$76,Assumptions!$C$77)</f>
        <v>4085</v>
      </c>
      <c r="X222" s="151" t="n">
        <f aca="false">IF(Assumptions!X$206=2026,Assumptions!$C$76,Assumptions!$C$77)</f>
        <v>4085</v>
      </c>
      <c r="Y222" s="151" t="n">
        <f aca="false">IF(Assumptions!Y$206=2026,Assumptions!$C$76,Assumptions!$C$77)</f>
        <v>4085</v>
      </c>
      <c r="Z222" s="151" t="n">
        <f aca="false">IF(Assumptions!Z$206=2026,Assumptions!$C$76,Assumptions!$C$77)</f>
        <v>4085</v>
      </c>
      <c r="AA222" s="151" t="n">
        <f aca="false">IF(Assumptions!AA$206=2026,Assumptions!$C$76,Assumptions!$C$77)</f>
        <v>4085</v>
      </c>
      <c r="AB222" s="151" t="n">
        <f aca="false">IF(Assumptions!AB$206=2026,Assumptions!$C$76,Assumptions!$C$77)</f>
        <v>4085</v>
      </c>
    </row>
    <row r="223" customFormat="false" ht="15" hidden="false" customHeight="false" outlineLevel="0" collapsed="false">
      <c r="A223" s="28" t="s">
        <v>1983</v>
      </c>
      <c r="E223" s="151" t="n">
        <f aca="false">IF(Assumptions!E$206=2027,Assumptions!$C$80,IF(Assumptions!E$207&lt;=5,Assumptions!$C$78,Assumptions!$C$79))</f>
        <v>1823.03</v>
      </c>
      <c r="F223" s="151" t="n">
        <f aca="false">IF(Assumptions!F$206=2027,Assumptions!$C$80,IF(Assumptions!F$207&lt;=5,Assumptions!$C$78,Assumptions!$C$79))</f>
        <v>1823.03</v>
      </c>
      <c r="G223" s="151" t="n">
        <f aca="false">IF(Assumptions!G$206=2027,Assumptions!$C$80,IF(Assumptions!G$207&lt;=5,Assumptions!$C$78,Assumptions!$C$79))</f>
        <v>1823.03</v>
      </c>
      <c r="H223" s="151" t="n">
        <f aca="false">IF(Assumptions!H$206=2027,Assumptions!$C$80,IF(Assumptions!H$207&lt;=5,Assumptions!$C$78,Assumptions!$C$79))</f>
        <v>1823.03</v>
      </c>
      <c r="I223" s="151" t="n">
        <f aca="false">IF(Assumptions!I$206=2027,Assumptions!$C$80,IF(Assumptions!I$207&lt;=5,Assumptions!$C$78,Assumptions!$C$79))</f>
        <v>1823.03</v>
      </c>
      <c r="J223" s="151" t="n">
        <f aca="false">IF(Assumptions!J$206=2027,Assumptions!$C$80,IF(Assumptions!J$207&lt;=5,Assumptions!$C$78,Assumptions!$C$79))</f>
        <v>1867.02</v>
      </c>
      <c r="K223" s="151" t="n">
        <f aca="false">IF(Assumptions!K$206=2027,Assumptions!$C$80,IF(Assumptions!K$207&lt;=5,Assumptions!$C$78,Assumptions!$C$79))</f>
        <v>1867.02</v>
      </c>
      <c r="L223" s="151" t="n">
        <f aca="false">IF(Assumptions!L$206=2027,Assumptions!$C$80,IF(Assumptions!L$207&lt;=5,Assumptions!$C$78,Assumptions!$C$79))</f>
        <v>1867.02</v>
      </c>
      <c r="M223" s="151" t="n">
        <f aca="false">IF(Assumptions!M$206=2027,Assumptions!$C$80,IF(Assumptions!M$207&lt;=5,Assumptions!$C$78,Assumptions!$C$79))</f>
        <v>1867.02</v>
      </c>
      <c r="N223" s="151" t="n">
        <f aca="false">IF(Assumptions!N$206=2027,Assumptions!$C$80,IF(Assumptions!N$207&lt;=5,Assumptions!$C$78,Assumptions!$C$79))</f>
        <v>1867.02</v>
      </c>
      <c r="O223" s="151" t="n">
        <f aca="false">IF(Assumptions!O$206=2027,Assumptions!$C$80,IF(Assumptions!O$207&lt;=5,Assumptions!$C$78,Assumptions!$C$79))</f>
        <v>1867.02</v>
      </c>
      <c r="P223" s="151" t="n">
        <f aca="false">IF(Assumptions!P$206=2027,Assumptions!$C$80,IF(Assumptions!P$207&lt;=5,Assumptions!$C$78,Assumptions!$C$79))</f>
        <v>1867.02</v>
      </c>
      <c r="Q223" s="151" t="n">
        <f aca="false">IF(Assumptions!Q$206=2027,Assumptions!$C$80,IF(Assumptions!Q$207&lt;=5,Assumptions!$C$78,Assumptions!$C$79))</f>
        <v>1900.63</v>
      </c>
      <c r="R223" s="151" t="n">
        <f aca="false">IF(Assumptions!R$206=2027,Assumptions!$C$80,IF(Assumptions!R$207&lt;=5,Assumptions!$C$78,Assumptions!$C$79))</f>
        <v>1900.63</v>
      </c>
      <c r="S223" s="151" t="n">
        <f aca="false">IF(Assumptions!S$206=2027,Assumptions!$C$80,IF(Assumptions!S$207&lt;=5,Assumptions!$C$78,Assumptions!$C$79))</f>
        <v>1900.63</v>
      </c>
      <c r="T223" s="151" t="n">
        <f aca="false">IF(Assumptions!T$206=2027,Assumptions!$C$80,IF(Assumptions!T$207&lt;=5,Assumptions!$C$78,Assumptions!$C$79))</f>
        <v>1900.63</v>
      </c>
      <c r="U223" s="151" t="n">
        <f aca="false">IF(Assumptions!U$206=2027,Assumptions!$C$80,IF(Assumptions!U$207&lt;=5,Assumptions!$C$78,Assumptions!$C$79))</f>
        <v>1900.63</v>
      </c>
      <c r="V223" s="151" t="n">
        <f aca="false">IF(Assumptions!V$206=2027,Assumptions!$C$80,IF(Assumptions!V$207&lt;=5,Assumptions!$C$78,Assumptions!$C$79))</f>
        <v>1900.63</v>
      </c>
      <c r="W223" s="151" t="n">
        <f aca="false">IF(Assumptions!W$206=2027,Assumptions!$C$80,IF(Assumptions!W$207&lt;=5,Assumptions!$C$78,Assumptions!$C$79))</f>
        <v>1900.63</v>
      </c>
      <c r="X223" s="151" t="n">
        <f aca="false">IF(Assumptions!X$206=2027,Assumptions!$C$80,IF(Assumptions!X$207&lt;=5,Assumptions!$C$78,Assumptions!$C$79))</f>
        <v>1900.63</v>
      </c>
      <c r="Y223" s="151" t="n">
        <f aca="false">IF(Assumptions!Y$206=2027,Assumptions!$C$80,IF(Assumptions!Y$207&lt;=5,Assumptions!$C$78,Assumptions!$C$79))</f>
        <v>1900.63</v>
      </c>
      <c r="Z223" s="151" t="n">
        <f aca="false">IF(Assumptions!Z$206=2027,Assumptions!$C$80,IF(Assumptions!Z$207&lt;=5,Assumptions!$C$78,Assumptions!$C$79))</f>
        <v>1900.63</v>
      </c>
      <c r="AA223" s="151" t="n">
        <f aca="false">IF(Assumptions!AA$206=2027,Assumptions!$C$80,IF(Assumptions!AA$207&lt;=5,Assumptions!$C$78,Assumptions!$C$79))</f>
        <v>1900.63</v>
      </c>
      <c r="AB223" s="151" t="n">
        <f aca="false">IF(Assumptions!AB$206=2027,Assumptions!$C$80,IF(Assumptions!AB$207&lt;=5,Assumptions!$C$78,Assumptions!$C$79))</f>
        <v>1900.63</v>
      </c>
    </row>
    <row r="224" customFormat="false" ht="15" hidden="false" customHeight="false" outlineLevel="0" collapsed="false">
      <c r="A224" s="28" t="s">
        <v>1984</v>
      </c>
      <c r="E224" s="152" t="n">
        <f aca="false">IF(Assumptions!E$206=2026,Assumptions!$C$36,Assumptions!$C$39)</f>
        <v>12900</v>
      </c>
      <c r="F224" s="152" t="n">
        <f aca="false">IF(Assumptions!F$206=2026,Assumptions!$C$36,Assumptions!$C$39)</f>
        <v>12900</v>
      </c>
      <c r="G224" s="152" t="n">
        <f aca="false">IF(Assumptions!G$206=2026,Assumptions!$C$36,Assumptions!$C$39)</f>
        <v>12900</v>
      </c>
      <c r="H224" s="152" t="n">
        <f aca="false">IF(Assumptions!H$206=2026,Assumptions!$C$36,Assumptions!$C$39)</f>
        <v>12900</v>
      </c>
      <c r="I224" s="152" t="n">
        <f aca="false">IF(Assumptions!I$206=2026,Assumptions!$C$36,Assumptions!$C$39)</f>
        <v>12900</v>
      </c>
      <c r="J224" s="152" t="n">
        <f aca="false">IF(Assumptions!J$206=2026,Assumptions!$C$36,Assumptions!$C$39)</f>
        <v>12900</v>
      </c>
      <c r="K224" s="152" t="n">
        <f aca="false">IF(Assumptions!K$206=2026,Assumptions!$C$36,Assumptions!$C$39)</f>
        <v>12900</v>
      </c>
      <c r="L224" s="152" t="n">
        <f aca="false">IF(Assumptions!L$206=2026,Assumptions!$C$36,Assumptions!$C$39)</f>
        <v>12900</v>
      </c>
      <c r="M224" s="152" t="n">
        <f aca="false">IF(Assumptions!M$206=2026,Assumptions!$C$36,Assumptions!$C$39)</f>
        <v>12900</v>
      </c>
      <c r="N224" s="152" t="n">
        <f aca="false">IF(Assumptions!N$206=2026,Assumptions!$C$36,Assumptions!$C$39)</f>
        <v>12900</v>
      </c>
      <c r="O224" s="152" t="n">
        <f aca="false">IF(Assumptions!O$206=2026,Assumptions!$C$36,Assumptions!$C$39)</f>
        <v>12900</v>
      </c>
      <c r="P224" s="152" t="n">
        <f aca="false">IF(Assumptions!P$206=2026,Assumptions!$C$36,Assumptions!$C$39)</f>
        <v>12900</v>
      </c>
      <c r="Q224" s="152" t="n">
        <f aca="false">IF(Assumptions!Q$206=2026,Assumptions!$C$36,Assumptions!$C$39)</f>
        <v>13300</v>
      </c>
      <c r="R224" s="152" t="n">
        <f aca="false">IF(Assumptions!R$206=2026,Assumptions!$C$36,Assumptions!$C$39)</f>
        <v>13300</v>
      </c>
      <c r="S224" s="152" t="n">
        <f aca="false">IF(Assumptions!S$206=2026,Assumptions!$C$36,Assumptions!$C$39)</f>
        <v>13300</v>
      </c>
      <c r="T224" s="152" t="n">
        <f aca="false">IF(Assumptions!T$206=2026,Assumptions!$C$36,Assumptions!$C$39)</f>
        <v>13300</v>
      </c>
      <c r="U224" s="152" t="n">
        <f aca="false">IF(Assumptions!U$206=2026,Assumptions!$C$36,Assumptions!$C$39)</f>
        <v>13300</v>
      </c>
      <c r="V224" s="152" t="n">
        <f aca="false">IF(Assumptions!V$206=2026,Assumptions!$C$36,Assumptions!$C$39)</f>
        <v>13300</v>
      </c>
      <c r="W224" s="152" t="n">
        <f aca="false">IF(Assumptions!W$206=2026,Assumptions!$C$36,Assumptions!$C$39)</f>
        <v>13300</v>
      </c>
      <c r="X224" s="152" t="n">
        <f aca="false">IF(Assumptions!X$206=2026,Assumptions!$C$36,Assumptions!$C$39)</f>
        <v>13300</v>
      </c>
      <c r="Y224" s="152" t="n">
        <f aca="false">IF(Assumptions!Y$206=2026,Assumptions!$C$36,Assumptions!$C$39)</f>
        <v>13300</v>
      </c>
      <c r="Z224" s="152" t="n">
        <f aca="false">IF(Assumptions!Z$206=2026,Assumptions!$C$36,Assumptions!$C$39)</f>
        <v>13300</v>
      </c>
      <c r="AA224" s="152" t="n">
        <f aca="false">IF(Assumptions!AA$206=2026,Assumptions!$C$36,Assumptions!$C$39)</f>
        <v>13300</v>
      </c>
      <c r="AB224" s="152" t="n">
        <f aca="false">IF(Assumptions!AB$206=2026,Assumptions!$C$36,Assumptions!$C$39)</f>
        <v>13300</v>
      </c>
    </row>
    <row r="225" customFormat="false" ht="15" hidden="false" customHeight="false" outlineLevel="0" collapsed="false">
      <c r="A225" s="28" t="s">
        <v>1985</v>
      </c>
      <c r="E225" s="152" t="n">
        <f aca="false">IF(Assumptions!E$206=2026,Assumptions!$C$37,Assumptions!$C$40)</f>
        <v>3900</v>
      </c>
      <c r="F225" s="152" t="n">
        <f aca="false">IF(Assumptions!F$206=2026,Assumptions!$C$37,Assumptions!$C$40)</f>
        <v>3900</v>
      </c>
      <c r="G225" s="152" t="n">
        <f aca="false">IF(Assumptions!G$206=2026,Assumptions!$C$37,Assumptions!$C$40)</f>
        <v>3900</v>
      </c>
      <c r="H225" s="152" t="n">
        <f aca="false">IF(Assumptions!H$206=2026,Assumptions!$C$37,Assumptions!$C$40)</f>
        <v>3900</v>
      </c>
      <c r="I225" s="152" t="n">
        <f aca="false">IF(Assumptions!I$206=2026,Assumptions!$C$37,Assumptions!$C$40)</f>
        <v>3900</v>
      </c>
      <c r="J225" s="152" t="n">
        <f aca="false">IF(Assumptions!J$206=2026,Assumptions!$C$37,Assumptions!$C$40)</f>
        <v>3900</v>
      </c>
      <c r="K225" s="152" t="n">
        <f aca="false">IF(Assumptions!K$206=2026,Assumptions!$C$37,Assumptions!$C$40)</f>
        <v>3900</v>
      </c>
      <c r="L225" s="152" t="n">
        <f aca="false">IF(Assumptions!L$206=2026,Assumptions!$C$37,Assumptions!$C$40)</f>
        <v>3900</v>
      </c>
      <c r="M225" s="152" t="n">
        <f aca="false">IF(Assumptions!M$206=2026,Assumptions!$C$37,Assumptions!$C$40)</f>
        <v>3900</v>
      </c>
      <c r="N225" s="152" t="n">
        <f aca="false">IF(Assumptions!N$206=2026,Assumptions!$C$37,Assumptions!$C$40)</f>
        <v>3900</v>
      </c>
      <c r="O225" s="152" t="n">
        <f aca="false">IF(Assumptions!O$206=2026,Assumptions!$C$37,Assumptions!$C$40)</f>
        <v>3900</v>
      </c>
      <c r="P225" s="152" t="n">
        <f aca="false">IF(Assumptions!P$206=2026,Assumptions!$C$37,Assumptions!$C$40)</f>
        <v>3900</v>
      </c>
      <c r="Q225" s="152" t="n">
        <f aca="false">IF(Assumptions!Q$206=2026,Assumptions!$C$37,Assumptions!$C$40)</f>
        <v>4300</v>
      </c>
      <c r="R225" s="152" t="n">
        <f aca="false">IF(Assumptions!R$206=2026,Assumptions!$C$37,Assumptions!$C$40)</f>
        <v>4300</v>
      </c>
      <c r="S225" s="152" t="n">
        <f aca="false">IF(Assumptions!S$206=2026,Assumptions!$C$37,Assumptions!$C$40)</f>
        <v>4300</v>
      </c>
      <c r="T225" s="152" t="n">
        <f aca="false">IF(Assumptions!T$206=2026,Assumptions!$C$37,Assumptions!$C$40)</f>
        <v>4300</v>
      </c>
      <c r="U225" s="152" t="n">
        <f aca="false">IF(Assumptions!U$206=2026,Assumptions!$C$37,Assumptions!$C$40)</f>
        <v>4300</v>
      </c>
      <c r="V225" s="152" t="n">
        <f aca="false">IF(Assumptions!V$206=2026,Assumptions!$C$37,Assumptions!$C$40)</f>
        <v>4300</v>
      </c>
      <c r="W225" s="152" t="n">
        <f aca="false">IF(Assumptions!W$206=2026,Assumptions!$C$37,Assumptions!$C$40)</f>
        <v>4300</v>
      </c>
      <c r="X225" s="152" t="n">
        <f aca="false">IF(Assumptions!X$206=2026,Assumptions!$C$37,Assumptions!$C$40)</f>
        <v>4300</v>
      </c>
      <c r="Y225" s="152" t="n">
        <f aca="false">IF(Assumptions!Y$206=2026,Assumptions!$C$37,Assumptions!$C$40)</f>
        <v>4300</v>
      </c>
      <c r="Z225" s="152" t="n">
        <f aca="false">IF(Assumptions!Z$206=2026,Assumptions!$C$37,Assumptions!$C$40)</f>
        <v>4300</v>
      </c>
      <c r="AA225" s="152" t="n">
        <f aca="false">IF(Assumptions!AA$206=2026,Assumptions!$C$37,Assumptions!$C$40)</f>
        <v>4300</v>
      </c>
      <c r="AB225" s="152" t="n">
        <f aca="false">IF(Assumptions!AB$206=2026,Assumptions!$C$37,Assumptions!$C$40)</f>
        <v>4300</v>
      </c>
    </row>
    <row r="227" customFormat="false" ht="15" hidden="false" customHeight="false" outlineLevel="0" collapsed="false">
      <c r="A227" s="28" t="s">
        <v>1986</v>
      </c>
      <c r="B227" s="62" t="s">
        <v>1662</v>
      </c>
      <c r="C227" s="153" t="n">
        <f aca="false">Assumptions!$C$44+Assumptions!$C$46+Assumptions!$C$47+Assumptions!$C$48+Assumptions!$C$49+Assumptions!$C$50+Assumptions!$C$51+Assumptions!$C$54+Assumptions!$C$55+Assumptions!$C$52+Assumptions!$C$53</f>
        <v>0.31106</v>
      </c>
      <c r="D227" s="62" t="s">
        <v>1987</v>
      </c>
    </row>
    <row r="228" customFormat="false" ht="15" hidden="false" customHeight="false" outlineLevel="0" collapsed="false">
      <c r="A228" s="28" t="s">
        <v>1988</v>
      </c>
      <c r="B228" s="62" t="s">
        <v>1662</v>
      </c>
      <c r="C228" s="153" t="n">
        <f aca="false">Assumptions!$C$58+Assumptions!$C$59+Assumptions!$C$60+Assumptions!$C$61</f>
        <v>0.14816</v>
      </c>
    </row>
    <row r="229" customFormat="false" ht="15" hidden="false" customHeight="false" outlineLevel="0" collapsed="false">
      <c r="A229" s="28" t="s">
        <v>1989</v>
      </c>
      <c r="B229" s="62" t="s">
        <v>1662</v>
      </c>
      <c r="C229" s="153" t="n">
        <f aca="false">Assumptions!$C$63+Assumptions!$C$71*Assumptions!$C$70</f>
        <v>0.0993025</v>
      </c>
    </row>
    <row r="230" customFormat="false" ht="15" hidden="false" customHeight="false" outlineLevel="0" collapsed="false">
      <c r="A230" s="28" t="s">
        <v>1990</v>
      </c>
      <c r="B230" s="62" t="s">
        <v>1662</v>
      </c>
      <c r="C230" s="153" t="n">
        <f aca="false">Assumptions!$C$66+Assumptions!$C$67+Assumptions!$C$68+Assumptions!$C$69</f>
        <v>0.09884</v>
      </c>
    </row>
    <row r="231" customFormat="false" ht="15" hidden="false" customHeight="false" outlineLevel="0" collapsed="false">
      <c r="A231" s="28" t="s">
        <v>1991</v>
      </c>
      <c r="B231" s="62" t="s">
        <v>618</v>
      </c>
      <c r="C231" s="107" t="n">
        <v>12400</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0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1992</v>
      </c>
    </row>
    <row r="3" customFormat="false" ht="15" hidden="false" customHeight="false" outlineLevel="0" collapsed="false">
      <c r="A3" s="49" t="s">
        <v>1993</v>
      </c>
    </row>
    <row r="4" customFormat="false" ht="15" hidden="false" customHeight="false" outlineLevel="0" collapsed="false">
      <c r="A4" s="50" t="s">
        <v>341</v>
      </c>
      <c r="B4" s="50" t="s">
        <v>342</v>
      </c>
      <c r="C4" s="51" t="s">
        <v>343</v>
      </c>
      <c r="D4" s="51" t="s">
        <v>344</v>
      </c>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c r="Q4" s="52" t="n">
        <f aca="false">Assumptions!Q$203</f>
        <v>46418</v>
      </c>
      <c r="R4" s="52" t="n">
        <f aca="false">Assumptions!R$203</f>
        <v>46446</v>
      </c>
      <c r="S4" s="52" t="n">
        <f aca="false">Assumptions!S$203</f>
        <v>46477</v>
      </c>
      <c r="T4" s="52" t="n">
        <f aca="false">Assumptions!T$203</f>
        <v>46507</v>
      </c>
      <c r="U4" s="52" t="n">
        <f aca="false">Assumptions!U$203</f>
        <v>46538</v>
      </c>
      <c r="V4" s="52" t="n">
        <f aca="false">Assumptions!V$203</f>
        <v>46568</v>
      </c>
      <c r="W4" s="52" t="n">
        <f aca="false">Assumptions!W$203</f>
        <v>46599</v>
      </c>
      <c r="X4" s="52" t="n">
        <f aca="false">Assumptions!X$203</f>
        <v>46630</v>
      </c>
      <c r="Y4" s="52" t="n">
        <f aca="false">Assumptions!Y$203</f>
        <v>46660</v>
      </c>
      <c r="Z4" s="52" t="n">
        <f aca="false">Assumptions!Z$203</f>
        <v>46691</v>
      </c>
      <c r="AA4" s="52" t="n">
        <f aca="false">Assumptions!AA$203</f>
        <v>46721</v>
      </c>
      <c r="AB4" s="52" t="n">
        <f aca="false">Assumptions!AB$203</f>
        <v>46752</v>
      </c>
    </row>
    <row r="5" customFormat="false" ht="15" hidden="false" customHeight="false" outlineLevel="0" collapsed="false">
      <c r="A5" s="53" t="s">
        <v>345</v>
      </c>
      <c r="B5" s="54"/>
      <c r="C5" s="55" t="s">
        <v>346</v>
      </c>
      <c r="D5" s="55" t="s">
        <v>347</v>
      </c>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c r="Q5" s="55" t="str">
        <f aca="false">Assumptions!Q$205</f>
        <v>F</v>
      </c>
      <c r="R5" s="55" t="str">
        <f aca="false">Assumptions!R$205</f>
        <v>F</v>
      </c>
      <c r="S5" s="55" t="str">
        <f aca="false">Assumptions!S$205</f>
        <v>F</v>
      </c>
      <c r="T5" s="55" t="str">
        <f aca="false">Assumptions!T$205</f>
        <v>F</v>
      </c>
      <c r="U5" s="55" t="str">
        <f aca="false">Assumptions!U$205</f>
        <v>F</v>
      </c>
      <c r="V5" s="55" t="str">
        <f aca="false">Assumptions!V$205</f>
        <v>F</v>
      </c>
      <c r="W5" s="55" t="str">
        <f aca="false">Assumptions!W$205</f>
        <v>F</v>
      </c>
      <c r="X5" s="55" t="str">
        <f aca="false">Assumptions!X$205</f>
        <v>F</v>
      </c>
      <c r="Y5" s="55" t="str">
        <f aca="false">Assumptions!Y$205</f>
        <v>F</v>
      </c>
      <c r="Z5" s="55" t="str">
        <f aca="false">Assumptions!Z$205</f>
        <v>F</v>
      </c>
      <c r="AA5" s="55" t="str">
        <f aca="false">Assumptions!AA$205</f>
        <v>F</v>
      </c>
      <c r="AB5" s="55" t="str">
        <f aca="false">Assumptions!AB$205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c r="Q6" s="57" t="n">
        <f aca="false">Assumptions!Q$204</f>
        <v>13</v>
      </c>
      <c r="R6" s="57" t="n">
        <f aca="false">Assumptions!R$204</f>
        <v>14</v>
      </c>
      <c r="S6" s="57" t="n">
        <f aca="false">Assumptions!S$204</f>
        <v>15</v>
      </c>
      <c r="T6" s="57" t="n">
        <f aca="false">Assumptions!T$204</f>
        <v>16</v>
      </c>
      <c r="U6" s="57" t="n">
        <f aca="false">Assumptions!U$204</f>
        <v>17</v>
      </c>
      <c r="V6" s="57" t="n">
        <f aca="false">Assumptions!V$204</f>
        <v>18</v>
      </c>
      <c r="W6" s="57" t="n">
        <f aca="false">Assumptions!W$204</f>
        <v>19</v>
      </c>
      <c r="X6" s="57" t="n">
        <f aca="false">Assumptions!X$204</f>
        <v>20</v>
      </c>
      <c r="Y6" s="57" t="n">
        <f aca="false">Assumptions!Y$204</f>
        <v>21</v>
      </c>
      <c r="Z6" s="57" t="n">
        <f aca="false">Assumptions!Z$204</f>
        <v>22</v>
      </c>
      <c r="AA6" s="57" t="n">
        <f aca="false">Assumptions!AA$204</f>
        <v>23</v>
      </c>
      <c r="AB6" s="57" t="n">
        <f aca="false">Assumptions!AB$204</f>
        <v>24</v>
      </c>
    </row>
    <row r="8" customFormat="false" ht="15" hidden="false" customHeight="false" outlineLevel="0" collapsed="false">
      <c r="A8" s="22" t="s">
        <v>1994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1995</v>
      </c>
      <c r="B9" s="62" t="s">
        <v>1996</v>
      </c>
      <c r="C9" s="64" t="n">
        <f aca="false">SUM(E9:P9)</f>
        <v>706057</v>
      </c>
      <c r="E9" s="107" t="n">
        <v>77172.26</v>
      </c>
      <c r="F9" s="107" t="n">
        <v>90498.36</v>
      </c>
      <c r="G9" s="107" t="n">
        <v>92890.7</v>
      </c>
      <c r="H9" s="107" t="n">
        <v>85657.9</v>
      </c>
      <c r="I9" s="107" t="n">
        <v>88939.25</v>
      </c>
      <c r="J9" s="107" t="n">
        <v>89823.78</v>
      </c>
      <c r="K9" s="107" t="n">
        <v>93824.48</v>
      </c>
      <c r="L9" s="107" t="n">
        <v>87250.27</v>
      </c>
    </row>
    <row r="10" customFormat="false" ht="15" hidden="false" customHeight="false" outlineLevel="0" collapsed="false">
      <c r="A10" s="28" t="s">
        <v>1997</v>
      </c>
      <c r="B10" s="62" t="s">
        <v>1998</v>
      </c>
      <c r="C10" s="64" t="n">
        <f aca="false">SUM(E10:P10)</f>
        <v>0</v>
      </c>
    </row>
    <row r="11" customFormat="false" ht="15" hidden="false" customHeight="false" outlineLevel="0" collapsed="false">
      <c r="A11" s="28" t="s">
        <v>1999</v>
      </c>
      <c r="B11" s="62" t="s">
        <v>1998</v>
      </c>
      <c r="C11" s="64" t="n">
        <f aca="false">SUM(E11:P11)</f>
        <v>935.6</v>
      </c>
      <c r="E11" s="107" t="n">
        <v>935.6</v>
      </c>
    </row>
    <row r="12" customFormat="false" ht="15" hidden="false" customHeight="false" outlineLevel="0" collapsed="false">
      <c r="A12" s="28" t="s">
        <v>2000</v>
      </c>
      <c r="B12" s="62" t="s">
        <v>1998</v>
      </c>
      <c r="C12" s="64" t="n">
        <f aca="false">SUM(E12:P12)</f>
        <v>2182.66</v>
      </c>
      <c r="E12" s="107" t="n">
        <v>1122.51</v>
      </c>
      <c r="F12" s="107" t="n">
        <v>1060.15</v>
      </c>
    </row>
    <row r="13" customFormat="false" ht="15" hidden="false" customHeight="false" outlineLevel="0" collapsed="false">
      <c r="A13" s="28" t="s">
        <v>2001</v>
      </c>
      <c r="B13" s="62" t="s">
        <v>1998</v>
      </c>
      <c r="C13" s="64" t="n">
        <f aca="false">SUM(E13:P13)</f>
        <v>3719.88</v>
      </c>
      <c r="E13" s="107" t="n">
        <v>1435.74</v>
      </c>
      <c r="F13" s="107" t="n">
        <v>1174.7</v>
      </c>
      <c r="G13" s="107" t="n">
        <v>1109.44</v>
      </c>
    </row>
    <row r="14" customFormat="false" ht="15" hidden="false" customHeight="false" outlineLevel="0" collapsed="false">
      <c r="A14" s="28" t="s">
        <v>2002</v>
      </c>
      <c r="B14" s="62" t="s">
        <v>1998</v>
      </c>
      <c r="C14" s="64" t="n">
        <f aca="false">SUM(E14:P14)</f>
        <v>6132.99</v>
      </c>
      <c r="E14" s="107" t="n">
        <v>2020.28</v>
      </c>
      <c r="F14" s="107" t="n">
        <v>1587.36</v>
      </c>
      <c r="G14" s="107" t="n">
        <v>1298.75</v>
      </c>
      <c r="H14" s="107" t="n">
        <v>1226.6</v>
      </c>
    </row>
    <row r="15" customFormat="false" ht="15" hidden="false" customHeight="false" outlineLevel="0" collapsed="false">
      <c r="A15" s="28" t="s">
        <v>2003</v>
      </c>
      <c r="B15" s="62" t="s">
        <v>1998</v>
      </c>
      <c r="C15" s="64" t="n">
        <f aca="false">SUM(E15:P15)</f>
        <v>8104.93</v>
      </c>
      <c r="E15" s="107" t="n">
        <v>2363.94</v>
      </c>
      <c r="F15" s="107" t="n">
        <v>1891.15</v>
      </c>
      <c r="G15" s="107" t="n">
        <v>1485.9</v>
      </c>
      <c r="H15" s="107" t="n">
        <v>1215.74</v>
      </c>
      <c r="I15" s="107" t="n">
        <v>1148.2</v>
      </c>
    </row>
    <row r="16" customFormat="false" ht="15" hidden="false" customHeight="false" outlineLevel="0" collapsed="false">
      <c r="A16" s="28" t="s">
        <v>2004</v>
      </c>
      <c r="B16" s="62" t="s">
        <v>1998</v>
      </c>
      <c r="C16" s="64" t="n">
        <f aca="false">SUM(E16:P16)</f>
        <v>10584.2</v>
      </c>
      <c r="E16" s="107" t="n">
        <v>2886.6</v>
      </c>
      <c r="F16" s="107" t="n">
        <v>2245.13</v>
      </c>
      <c r="G16" s="107" t="n">
        <v>1796.11</v>
      </c>
      <c r="H16" s="107" t="n">
        <v>1411.23</v>
      </c>
      <c r="I16" s="107" t="n">
        <v>1154.64</v>
      </c>
      <c r="J16" s="107" t="n">
        <v>1090.49</v>
      </c>
    </row>
    <row r="17" customFormat="false" ht="15" hidden="false" customHeight="false" outlineLevel="0" collapsed="false">
      <c r="A17" s="28" t="s">
        <v>2005</v>
      </c>
      <c r="B17" s="62" t="s">
        <v>1998</v>
      </c>
      <c r="C17" s="64" t="n">
        <f aca="false">SUM(E17:P17)</f>
        <v>13823.02</v>
      </c>
      <c r="E17" s="107" t="n">
        <v>3455.76</v>
      </c>
      <c r="F17" s="107" t="n">
        <v>2827.44</v>
      </c>
      <c r="G17" s="107" t="n">
        <v>2199.12</v>
      </c>
      <c r="H17" s="107" t="n">
        <v>1759.29</v>
      </c>
      <c r="I17" s="107" t="n">
        <v>1382.3</v>
      </c>
      <c r="J17" s="107" t="n">
        <v>1130.97</v>
      </c>
      <c r="K17" s="107" t="n">
        <v>1068.14</v>
      </c>
    </row>
    <row r="18" customFormat="false" ht="15" hidden="false" customHeight="false" outlineLevel="0" collapsed="false">
      <c r="A18" s="28" t="s">
        <v>2006</v>
      </c>
      <c r="B18" s="62" t="s">
        <v>1998</v>
      </c>
      <c r="C18" s="64" t="n">
        <f aca="false">SUM(E18:P18)</f>
        <v>23714.28</v>
      </c>
      <c r="E18" s="107" t="n">
        <v>5724.14</v>
      </c>
      <c r="F18" s="107" t="n">
        <v>4497.54</v>
      </c>
      <c r="G18" s="107" t="n">
        <v>3679.8</v>
      </c>
      <c r="H18" s="107" t="n">
        <v>2862.07</v>
      </c>
      <c r="I18" s="107" t="n">
        <v>2289.65</v>
      </c>
      <c r="J18" s="107" t="n">
        <v>1799.01</v>
      </c>
      <c r="K18" s="107" t="n">
        <v>1471.92</v>
      </c>
      <c r="L18" s="107" t="n">
        <v>1390.15</v>
      </c>
    </row>
    <row r="19" customFormat="false" ht="15" hidden="false" customHeight="false" outlineLevel="0" collapsed="false">
      <c r="A19" s="28" t="s">
        <v>2007</v>
      </c>
      <c r="B19" s="62" t="s">
        <v>1998</v>
      </c>
      <c r="C19" s="64" t="n">
        <f aca="false">SUM(E19:P19)</f>
        <v>30077.21</v>
      </c>
      <c r="E19" s="107" t="n">
        <v>7457.16</v>
      </c>
      <c r="F19" s="107" t="n">
        <v>5800.01</v>
      </c>
      <c r="G19" s="107" t="n">
        <v>4557.15</v>
      </c>
      <c r="H19" s="107" t="n">
        <v>3728.58</v>
      </c>
      <c r="I19" s="107" t="n">
        <v>2900.01</v>
      </c>
      <c r="J19" s="107" t="n">
        <v>2320.01</v>
      </c>
      <c r="K19" s="107" t="n">
        <v>1822.86</v>
      </c>
      <c r="L19" s="107" t="n">
        <v>1491.43</v>
      </c>
    </row>
    <row r="20" customFormat="false" ht="15" hidden="false" customHeight="false" outlineLevel="0" collapsed="false">
      <c r="A20" s="28" t="s">
        <v>2008</v>
      </c>
      <c r="B20" s="62" t="s">
        <v>1998</v>
      </c>
      <c r="C20" s="64" t="n">
        <f aca="false">SUM(E20:P20)</f>
        <v>37334.27</v>
      </c>
      <c r="E20" s="107" t="n">
        <v>9634.65</v>
      </c>
      <c r="F20" s="107" t="n">
        <v>7225.99</v>
      </c>
      <c r="G20" s="107" t="n">
        <v>5620.21</v>
      </c>
      <c r="H20" s="107" t="n">
        <v>4415.88</v>
      </c>
      <c r="I20" s="107" t="n">
        <v>3612.99</v>
      </c>
      <c r="J20" s="107" t="n">
        <v>2810.11</v>
      </c>
      <c r="K20" s="107" t="n">
        <v>2248.09</v>
      </c>
      <c r="L20" s="107" t="n">
        <v>1766.35</v>
      </c>
    </row>
    <row r="21" customFormat="false" ht="15" hidden="false" customHeight="false" outlineLevel="0" collapsed="false">
      <c r="A21" s="28" t="s">
        <v>2009</v>
      </c>
      <c r="B21" s="62" t="s">
        <v>1998</v>
      </c>
      <c r="C21" s="64" t="n">
        <f aca="false">SUM(E21:P21)</f>
        <v>50965.5</v>
      </c>
      <c r="E21" s="107" t="n">
        <v>14133.99</v>
      </c>
      <c r="F21" s="107" t="n">
        <v>9976.93</v>
      </c>
      <c r="G21" s="107" t="n">
        <v>7482.7</v>
      </c>
      <c r="H21" s="107" t="n">
        <v>5819.88</v>
      </c>
      <c r="I21" s="107" t="n">
        <v>4572.76</v>
      </c>
      <c r="J21" s="107" t="n">
        <v>3741.35</v>
      </c>
      <c r="K21" s="107" t="n">
        <v>2909.94</v>
      </c>
      <c r="L21" s="107" t="n">
        <v>2327.95</v>
      </c>
    </row>
    <row r="22" customFormat="false" ht="15" hidden="false" customHeight="false" outlineLevel="0" collapsed="false">
      <c r="A22" s="28" t="s">
        <v>2010</v>
      </c>
      <c r="B22" s="62" t="s">
        <v>1998</v>
      </c>
      <c r="C22" s="64" t="n">
        <f aca="false">SUM(E22:P22)</f>
        <v>59061.42</v>
      </c>
      <c r="E22" s="107" t="n">
        <v>15601.13</v>
      </c>
      <c r="F22" s="107" t="n">
        <v>12629.48</v>
      </c>
      <c r="G22" s="107" t="n">
        <v>8914.93</v>
      </c>
      <c r="H22" s="107" t="n">
        <v>6686.2</v>
      </c>
      <c r="I22" s="107" t="n">
        <v>5200.38</v>
      </c>
      <c r="J22" s="107" t="n">
        <v>4086.01</v>
      </c>
      <c r="K22" s="107" t="n">
        <v>3343.1</v>
      </c>
      <c r="L22" s="107" t="n">
        <v>2600.19</v>
      </c>
    </row>
    <row r="23" customFormat="false" ht="15" hidden="false" customHeight="false" outlineLevel="0" collapsed="false">
      <c r="A23" s="28" t="s">
        <v>2011</v>
      </c>
      <c r="B23" s="62" t="s">
        <v>1998</v>
      </c>
      <c r="C23" s="64" t="n">
        <f aca="false">SUM(E23:P23)</f>
        <v>69462.22</v>
      </c>
      <c r="F23" s="107" t="n">
        <v>19193.51</v>
      </c>
      <c r="G23" s="107" t="n">
        <v>15537.6</v>
      </c>
      <c r="H23" s="107" t="n">
        <v>10967.72</v>
      </c>
      <c r="I23" s="107" t="n">
        <v>8225.79</v>
      </c>
      <c r="J23" s="107" t="n">
        <v>6397.84</v>
      </c>
      <c r="K23" s="107" t="n">
        <v>5026.87</v>
      </c>
      <c r="L23" s="107" t="n">
        <v>4112.89</v>
      </c>
    </row>
    <row r="24" customFormat="false" ht="15" hidden="false" customHeight="false" outlineLevel="0" collapsed="false">
      <c r="A24" s="28" t="s">
        <v>2012</v>
      </c>
      <c r="B24" s="62" t="s">
        <v>1998</v>
      </c>
      <c r="C24" s="64" t="n">
        <f aca="false">SUM(E24:P24)</f>
        <v>65818.74</v>
      </c>
      <c r="G24" s="107" t="n">
        <v>19331.38</v>
      </c>
      <c r="H24" s="107" t="n">
        <v>15649.21</v>
      </c>
      <c r="I24" s="107" t="n">
        <v>11046.5</v>
      </c>
      <c r="J24" s="107" t="n">
        <v>8284.88</v>
      </c>
      <c r="K24" s="107" t="n">
        <v>6443.79</v>
      </c>
      <c r="L24" s="107" t="n">
        <v>5062.98</v>
      </c>
    </row>
    <row r="25" customFormat="false" ht="15" hidden="false" customHeight="false" outlineLevel="0" collapsed="false">
      <c r="A25" s="28" t="s">
        <v>2013</v>
      </c>
      <c r="B25" s="62" t="s">
        <v>1998</v>
      </c>
      <c r="C25" s="64" t="n">
        <f aca="false">SUM(E25:P25)</f>
        <v>56759.5</v>
      </c>
      <c r="H25" s="107" t="n">
        <v>18059.84</v>
      </c>
      <c r="I25" s="107" t="n">
        <v>14619.87</v>
      </c>
      <c r="J25" s="107" t="n">
        <v>10319.91</v>
      </c>
      <c r="K25" s="107" t="n">
        <v>7739.93</v>
      </c>
      <c r="L25" s="107" t="n">
        <v>6019.95</v>
      </c>
    </row>
    <row r="26" customFormat="false" ht="15" hidden="false" customHeight="false" outlineLevel="0" collapsed="false">
      <c r="A26" s="28" t="s">
        <v>2014</v>
      </c>
      <c r="B26" s="62" t="s">
        <v>1998</v>
      </c>
      <c r="C26" s="64" t="n">
        <f aca="false">SUM(E26:P26)</f>
        <v>49281.87</v>
      </c>
      <c r="I26" s="107" t="n">
        <v>17541.01</v>
      </c>
      <c r="J26" s="107" t="n">
        <v>14199.86</v>
      </c>
      <c r="K26" s="107" t="n">
        <v>10023.43</v>
      </c>
      <c r="L26" s="107" t="n">
        <v>7517.57</v>
      </c>
    </row>
    <row r="27" customFormat="false" ht="15" hidden="false" customHeight="false" outlineLevel="0" collapsed="false">
      <c r="A27" s="28" t="s">
        <v>2015</v>
      </c>
      <c r="B27" s="62" t="s">
        <v>1998</v>
      </c>
      <c r="C27" s="64" t="n">
        <f aca="false">SUM(E27:P27)</f>
        <v>48026.71</v>
      </c>
      <c r="J27" s="107" t="n">
        <v>20171.22</v>
      </c>
      <c r="K27" s="107" t="n">
        <v>16329.08</v>
      </c>
      <c r="L27" s="107" t="n">
        <v>11526.41</v>
      </c>
    </row>
    <row r="28" customFormat="false" ht="15" hidden="false" customHeight="false" outlineLevel="0" collapsed="false">
      <c r="A28" s="28" t="s">
        <v>2016</v>
      </c>
      <c r="B28" s="62" t="s">
        <v>1998</v>
      </c>
      <c r="C28" s="64" t="n">
        <f aca="false">SUM(E28:P28)</f>
        <v>35597.93</v>
      </c>
      <c r="K28" s="107" t="n">
        <v>19672.54</v>
      </c>
      <c r="L28" s="107" t="n">
        <v>15925.39</v>
      </c>
    </row>
    <row r="29" customFormat="false" ht="15" hidden="false" customHeight="false" outlineLevel="0" collapsed="false">
      <c r="A29" s="28" t="s">
        <v>2017</v>
      </c>
      <c r="B29" s="62" t="s">
        <v>1998</v>
      </c>
      <c r="C29" s="64" t="n">
        <f aca="false">SUM(E29:P29)</f>
        <v>18490.68</v>
      </c>
      <c r="L29" s="107" t="n">
        <v>18490.68</v>
      </c>
    </row>
    <row r="30" customFormat="false" ht="15" hidden="false" customHeight="false" outlineLevel="0" collapsed="false">
      <c r="A30" s="22" t="s">
        <v>2018</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customFormat="false" ht="15" hidden="false" customHeight="false" outlineLevel="0" collapsed="false">
      <c r="A31" s="28" t="s">
        <v>2019</v>
      </c>
      <c r="B31" s="62" t="s">
        <v>1996</v>
      </c>
      <c r="C31" s="69" t="n">
        <f aca="false">P31</f>
        <v>0</v>
      </c>
      <c r="E31" s="126" t="n">
        <v>343</v>
      </c>
      <c r="F31" s="126" t="n">
        <v>349</v>
      </c>
      <c r="G31" s="126" t="n">
        <v>365</v>
      </c>
      <c r="H31" s="126" t="n">
        <v>369</v>
      </c>
      <c r="I31" s="126" t="n">
        <v>379</v>
      </c>
      <c r="J31" s="126" t="n">
        <v>384</v>
      </c>
      <c r="K31" s="126" t="n">
        <v>381</v>
      </c>
      <c r="L31" s="126" t="n">
        <v>380</v>
      </c>
    </row>
    <row r="32" customFormat="false" ht="15" hidden="false" customHeight="false" outlineLevel="0" collapsed="false">
      <c r="A32" s="28" t="s">
        <v>868</v>
      </c>
      <c r="B32" s="62" t="s">
        <v>1996</v>
      </c>
      <c r="C32" s="69" t="n">
        <f aca="false">SUM(E32:P32)</f>
        <v>116</v>
      </c>
      <c r="E32" s="126" t="n">
        <v>22</v>
      </c>
      <c r="F32" s="126" t="n">
        <v>15</v>
      </c>
      <c r="G32" s="126" t="n">
        <v>23</v>
      </c>
      <c r="H32" s="126" t="n">
        <v>13</v>
      </c>
      <c r="I32" s="126" t="n">
        <v>14</v>
      </c>
      <c r="J32" s="126" t="n">
        <v>13</v>
      </c>
      <c r="K32" s="126" t="n">
        <v>8</v>
      </c>
      <c r="L32" s="126" t="n">
        <v>8</v>
      </c>
    </row>
    <row r="33" customFormat="false" ht="15" hidden="false" customHeight="false" outlineLevel="0" collapsed="false">
      <c r="A33" s="28" t="s">
        <v>870</v>
      </c>
      <c r="B33" s="62" t="s">
        <v>1996</v>
      </c>
      <c r="C33" s="69" t="n">
        <f aca="false">SUM(E33:P33)</f>
        <v>70</v>
      </c>
      <c r="E33" s="126" t="n">
        <v>13</v>
      </c>
      <c r="F33" s="126" t="n">
        <v>9</v>
      </c>
      <c r="G33" s="126" t="n">
        <v>7</v>
      </c>
      <c r="H33" s="126" t="n">
        <v>9</v>
      </c>
      <c r="I33" s="126" t="n">
        <v>4</v>
      </c>
      <c r="J33" s="126" t="n">
        <v>8</v>
      </c>
      <c r="K33" s="126" t="n">
        <v>11</v>
      </c>
      <c r="L33" s="126" t="n">
        <v>9</v>
      </c>
    </row>
    <row r="34" customFormat="false" ht="15" hidden="false" customHeight="false" outlineLevel="0" collapsed="false">
      <c r="A34" s="28" t="s">
        <v>2020</v>
      </c>
      <c r="B34" s="62" t="s">
        <v>1996</v>
      </c>
      <c r="C34" s="64" t="n">
        <f aca="false">SUM(E34:P34)</f>
        <v>1283228.09</v>
      </c>
      <c r="E34" s="107" t="n">
        <v>147822.39</v>
      </c>
      <c r="F34" s="107" t="n">
        <v>151285.63</v>
      </c>
      <c r="G34" s="107" t="n">
        <v>158437.14</v>
      </c>
      <c r="H34" s="107" t="n">
        <v>160611.64</v>
      </c>
      <c r="I34" s="107" t="n">
        <v>164477.79</v>
      </c>
      <c r="J34" s="107" t="n">
        <v>167613.02</v>
      </c>
      <c r="K34" s="107" t="n">
        <v>166964.24</v>
      </c>
      <c r="L34" s="107" t="n">
        <v>166016.24</v>
      </c>
    </row>
    <row r="35" customFormat="false" ht="15" hidden="false" customHeight="false" outlineLevel="0" collapsed="false">
      <c r="A35" s="28" t="s">
        <v>2021</v>
      </c>
      <c r="B35" s="62" t="s">
        <v>1996</v>
      </c>
      <c r="C35" s="64" t="n">
        <f aca="false">SUM(E35:P35)</f>
        <v>293514.38</v>
      </c>
      <c r="E35" s="107" t="n">
        <v>33802.2</v>
      </c>
      <c r="F35" s="107" t="n">
        <v>32583.96</v>
      </c>
      <c r="G35" s="107" t="n">
        <v>32561.07</v>
      </c>
      <c r="H35" s="107" t="n">
        <v>33100.75</v>
      </c>
      <c r="I35" s="107" t="n">
        <v>37038.12</v>
      </c>
      <c r="J35" s="107" t="n">
        <v>40825.68</v>
      </c>
      <c r="K35" s="107" t="n">
        <v>41131.2</v>
      </c>
      <c r="L35" s="107" t="n">
        <v>42471.4</v>
      </c>
    </row>
    <row r="36" customFormat="false" ht="15" hidden="false" customHeight="false" outlineLevel="0" collapsed="false">
      <c r="A36" s="22" t="s">
        <v>2022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row>
    <row r="37" customFormat="false" ht="15" hidden="false" customHeight="false" outlineLevel="0" collapsed="false">
      <c r="A37" s="28" t="s">
        <v>2023</v>
      </c>
      <c r="B37" s="62" t="s">
        <v>2024</v>
      </c>
      <c r="C37" s="64" t="n">
        <f aca="false">SUM(E37:P37)</f>
        <v>271396.63</v>
      </c>
      <c r="E37" s="107" t="n">
        <v>29800.75</v>
      </c>
      <c r="F37" s="107" t="n">
        <v>29817.31</v>
      </c>
      <c r="G37" s="107" t="n">
        <v>29483.15</v>
      </c>
      <c r="H37" s="107" t="n">
        <v>32358.22</v>
      </c>
      <c r="I37" s="107" t="n">
        <v>33059.57</v>
      </c>
      <c r="J37" s="107" t="n">
        <v>35682.11</v>
      </c>
      <c r="K37" s="107" t="n">
        <v>40948.17</v>
      </c>
      <c r="L37" s="107" t="n">
        <v>40247.35</v>
      </c>
    </row>
    <row r="38" customFormat="false" ht="15" hidden="false" customHeight="false" outlineLevel="0" collapsed="false">
      <c r="A38" s="28" t="s">
        <v>2025</v>
      </c>
      <c r="B38" s="62" t="s">
        <v>2024</v>
      </c>
      <c r="C38" s="64" t="n">
        <f aca="false">SUM(E38:P38)</f>
        <v>138283.23</v>
      </c>
      <c r="E38" s="107" t="n">
        <v>15637.85</v>
      </c>
      <c r="F38" s="107" t="n">
        <v>15657.55</v>
      </c>
      <c r="G38" s="107" t="n">
        <v>17732.24</v>
      </c>
      <c r="H38" s="107" t="n">
        <v>16912.76</v>
      </c>
      <c r="I38" s="107" t="n">
        <v>16561.97</v>
      </c>
      <c r="J38" s="107" t="n">
        <v>19319.15</v>
      </c>
      <c r="K38" s="107" t="n">
        <v>18345.87</v>
      </c>
      <c r="L38" s="107" t="n">
        <v>18115.84</v>
      </c>
    </row>
    <row r="39" customFormat="false" ht="15" hidden="false" customHeight="false" outlineLevel="0" collapsed="false">
      <c r="A39" s="28" t="s">
        <v>2026</v>
      </c>
      <c r="B39" s="62" t="s">
        <v>2024</v>
      </c>
      <c r="C39" s="64" t="n">
        <f aca="false">SUM(E39:P39)</f>
        <v>245193.99</v>
      </c>
      <c r="E39" s="107" t="n">
        <v>26851.15</v>
      </c>
      <c r="F39" s="107" t="n">
        <v>27589.77</v>
      </c>
      <c r="G39" s="107" t="n">
        <v>28650.36</v>
      </c>
      <c r="H39" s="107" t="n">
        <v>30600.37</v>
      </c>
      <c r="I39" s="107" t="n">
        <v>31839.71</v>
      </c>
      <c r="J39" s="107" t="n">
        <v>30398.67</v>
      </c>
      <c r="K39" s="107" t="n">
        <v>34924.96</v>
      </c>
      <c r="L39" s="107" t="n">
        <v>34339</v>
      </c>
    </row>
    <row r="40" customFormat="false" ht="15" hidden="false" customHeight="false" outlineLevel="0" collapsed="false">
      <c r="A40" s="28" t="s">
        <v>2027</v>
      </c>
      <c r="B40" s="62" t="s">
        <v>2024</v>
      </c>
      <c r="C40" s="64" t="n">
        <f aca="false">SUM(E40:P40)</f>
        <v>120537</v>
      </c>
      <c r="E40" s="107" t="n">
        <v>13618.17</v>
      </c>
      <c r="F40" s="107" t="n">
        <v>15121.65</v>
      </c>
      <c r="G40" s="107" t="n">
        <v>15187.01</v>
      </c>
      <c r="H40" s="107" t="n">
        <v>14753.92</v>
      </c>
      <c r="I40" s="107" t="n">
        <v>15217.42</v>
      </c>
      <c r="J40" s="107" t="n">
        <v>15745.31</v>
      </c>
      <c r="K40" s="107" t="n">
        <v>16254.09</v>
      </c>
      <c r="L40" s="107" t="n">
        <v>14639.43</v>
      </c>
    </row>
    <row r="41" customFormat="false" ht="15" hidden="false" customHeight="false" outlineLevel="0" collapsed="false">
      <c r="A41" s="28" t="s">
        <v>2028</v>
      </c>
      <c r="B41" s="62" t="s">
        <v>2024</v>
      </c>
      <c r="C41" s="64" t="n">
        <f aca="false">SUM(E41:P41)</f>
        <v>122963.87</v>
      </c>
      <c r="E41" s="107" t="n">
        <v>15535.94</v>
      </c>
      <c r="F41" s="107" t="n">
        <v>15857.13</v>
      </c>
      <c r="G41" s="107" t="n">
        <v>15384.78</v>
      </c>
      <c r="H41" s="107" t="n">
        <v>14057.72</v>
      </c>
      <c r="I41" s="107" t="n">
        <v>14889.29</v>
      </c>
      <c r="J41" s="107" t="n">
        <v>14835.98</v>
      </c>
      <c r="K41" s="107" t="n">
        <v>15921.18</v>
      </c>
      <c r="L41" s="107" t="n">
        <v>16481.85</v>
      </c>
    </row>
    <row r="42" customFormat="false" ht="15" hidden="false" customHeight="false" outlineLevel="0" collapsed="false">
      <c r="A42" s="28" t="s">
        <v>2029</v>
      </c>
      <c r="B42" s="62" t="s">
        <v>2024</v>
      </c>
      <c r="C42" s="64" t="n">
        <f aca="false">SUM(E42:P42)</f>
        <v>124017.75</v>
      </c>
      <c r="E42" s="107" t="n">
        <v>16513.61</v>
      </c>
      <c r="F42" s="107" t="n">
        <v>16351.25</v>
      </c>
      <c r="G42" s="107" t="n">
        <v>14443.59</v>
      </c>
      <c r="H42" s="107" t="n">
        <v>14071.5</v>
      </c>
      <c r="I42" s="107" t="n">
        <v>14501.88</v>
      </c>
      <c r="J42" s="107" t="n">
        <v>14641.08</v>
      </c>
      <c r="K42" s="107" t="n">
        <v>16459.22</v>
      </c>
      <c r="L42" s="107" t="n">
        <v>17035.62</v>
      </c>
    </row>
    <row r="43" customFormat="false" ht="15" hidden="false" customHeight="false" outlineLevel="0" collapsed="false">
      <c r="A43" s="28" t="s">
        <v>2030</v>
      </c>
      <c r="B43" s="62" t="s">
        <v>2024</v>
      </c>
      <c r="C43" s="64" t="n">
        <f aca="false">SUM(E43:P43)</f>
        <v>121099.69</v>
      </c>
      <c r="E43" s="107" t="n">
        <v>14504.81</v>
      </c>
      <c r="F43" s="107" t="n">
        <v>15192.8</v>
      </c>
      <c r="G43" s="107" t="n">
        <v>14910.78</v>
      </c>
      <c r="H43" s="107" t="n">
        <v>15331.01</v>
      </c>
      <c r="I43" s="107" t="n">
        <v>16157.51</v>
      </c>
      <c r="J43" s="107" t="n">
        <v>15547.9</v>
      </c>
      <c r="K43" s="107" t="n">
        <v>15097.56</v>
      </c>
      <c r="L43" s="107" t="n">
        <v>14357.32</v>
      </c>
    </row>
    <row r="44" customFormat="false" ht="15" hidden="false" customHeight="false" outlineLevel="0" collapsed="false">
      <c r="A44" s="28" t="s">
        <v>2031</v>
      </c>
      <c r="B44" s="62" t="s">
        <v>2024</v>
      </c>
      <c r="C44" s="64" t="n">
        <f aca="false">SUM(E44:P44)</f>
        <v>30369.41</v>
      </c>
      <c r="E44" s="107" t="n">
        <v>14735.88</v>
      </c>
      <c r="F44" s="107" t="n">
        <v>15633.53</v>
      </c>
      <c r="G44" s="107" t="n">
        <v>0</v>
      </c>
      <c r="H44" s="107" t="n">
        <v>0</v>
      </c>
      <c r="I44" s="107" t="n">
        <v>0</v>
      </c>
      <c r="J44" s="107" t="n">
        <v>0</v>
      </c>
      <c r="K44" s="107" t="n">
        <v>0</v>
      </c>
      <c r="L44" s="107" t="n">
        <v>0</v>
      </c>
    </row>
    <row r="45" customFormat="false" ht="15" hidden="false" customHeight="false" outlineLevel="0" collapsed="false">
      <c r="A45" s="28" t="s">
        <v>2032</v>
      </c>
      <c r="B45" s="62" t="s">
        <v>2024</v>
      </c>
      <c r="C45" s="64" t="n">
        <f aca="false">SUM(E45:P45)</f>
        <v>113692.75</v>
      </c>
      <c r="E45" s="107" t="n">
        <v>14445.85</v>
      </c>
      <c r="F45" s="107" t="n">
        <v>14800.59</v>
      </c>
      <c r="G45" s="107" t="n">
        <v>13540.41</v>
      </c>
      <c r="H45" s="107" t="n">
        <v>14387.44</v>
      </c>
      <c r="I45" s="107" t="n">
        <v>14099.83</v>
      </c>
      <c r="J45" s="107" t="n">
        <v>14001.45</v>
      </c>
      <c r="K45" s="107" t="n">
        <v>15214.24</v>
      </c>
      <c r="L45" s="107" t="n">
        <v>13202.94</v>
      </c>
    </row>
    <row r="46" customFormat="false" ht="15" hidden="false" customHeight="false" outlineLevel="0" collapsed="false">
      <c r="A46" s="28" t="s">
        <v>2033</v>
      </c>
      <c r="B46" s="62" t="s">
        <v>2024</v>
      </c>
      <c r="C46" s="64" t="n">
        <f aca="false">SUM(E46:P46)</f>
        <v>133586.74</v>
      </c>
      <c r="E46" s="107" t="n">
        <v>14886.68</v>
      </c>
      <c r="F46" s="107" t="n">
        <v>15829.89</v>
      </c>
      <c r="G46" s="107" t="n">
        <v>17869.82</v>
      </c>
      <c r="H46" s="107" t="n">
        <v>17854.46</v>
      </c>
      <c r="I46" s="107" t="n">
        <v>16031.1</v>
      </c>
      <c r="J46" s="107" t="n">
        <v>15942.51</v>
      </c>
      <c r="K46" s="107" t="n">
        <v>17063.09</v>
      </c>
      <c r="L46" s="107" t="n">
        <v>18109.19</v>
      </c>
    </row>
    <row r="47" customFormat="false" ht="15" hidden="false" customHeight="false" outlineLevel="0" collapsed="false">
      <c r="A47" s="28" t="s">
        <v>2034</v>
      </c>
      <c r="B47" s="62" t="s">
        <v>2024</v>
      </c>
      <c r="C47" s="64" t="n">
        <f aca="false">SUM(E47:P47)</f>
        <v>74751.16</v>
      </c>
      <c r="E47" s="107" t="n">
        <v>8165.25</v>
      </c>
      <c r="F47" s="107" t="n">
        <v>8260.2</v>
      </c>
      <c r="G47" s="107" t="n">
        <v>8111.51</v>
      </c>
      <c r="H47" s="107" t="n">
        <v>8549.4</v>
      </c>
      <c r="I47" s="107" t="n">
        <v>9199.87</v>
      </c>
      <c r="J47" s="107" t="n">
        <v>9997.67</v>
      </c>
      <c r="K47" s="107" t="n">
        <v>10470.53</v>
      </c>
      <c r="L47" s="107" t="n">
        <v>11996.73</v>
      </c>
    </row>
    <row r="48" customFormat="false" ht="15" hidden="false" customHeight="false" outlineLevel="0" collapsed="false">
      <c r="A48" s="28" t="s">
        <v>2035</v>
      </c>
      <c r="B48" s="62" t="s">
        <v>2024</v>
      </c>
      <c r="C48" s="64" t="n">
        <f aca="false">SUM(E48:P48)</f>
        <v>88143.13</v>
      </c>
      <c r="E48" s="107" t="n">
        <v>8967.86</v>
      </c>
      <c r="F48" s="107" t="n">
        <v>10109.78</v>
      </c>
      <c r="G48" s="107" t="n">
        <v>11122.33</v>
      </c>
      <c r="H48" s="107" t="n">
        <v>11577.51</v>
      </c>
      <c r="I48" s="107" t="n">
        <v>10637.55</v>
      </c>
      <c r="J48" s="107" t="n">
        <v>12321.64</v>
      </c>
      <c r="K48" s="107" t="n">
        <v>11833.15</v>
      </c>
      <c r="L48" s="107" t="n">
        <v>11573.31</v>
      </c>
    </row>
    <row r="49" customFormat="false" ht="15" hidden="false" customHeight="false" outlineLevel="0" collapsed="false">
      <c r="A49" s="28" t="s">
        <v>2036</v>
      </c>
      <c r="B49" s="62" t="s">
        <v>2024</v>
      </c>
      <c r="C49" s="64" t="n">
        <f aca="false">SUM(E49:P49)</f>
        <v>77980.1</v>
      </c>
      <c r="E49" s="107" t="n">
        <v>8782.1</v>
      </c>
      <c r="F49" s="107" t="n">
        <v>8834.01</v>
      </c>
      <c r="G49" s="107" t="n">
        <v>10290.06</v>
      </c>
      <c r="H49" s="107" t="n">
        <v>9774.21</v>
      </c>
      <c r="I49" s="107" t="n">
        <v>9471.24</v>
      </c>
      <c r="J49" s="107" t="n">
        <v>9971.1</v>
      </c>
      <c r="K49" s="107" t="n">
        <v>10424.99</v>
      </c>
      <c r="L49" s="107" t="n">
        <v>10432.39</v>
      </c>
    </row>
    <row r="50" customFormat="false" ht="15" hidden="false" customHeight="false" outlineLevel="0" collapsed="false">
      <c r="A50" s="28" t="s">
        <v>2037</v>
      </c>
      <c r="B50" s="62" t="s">
        <v>2024</v>
      </c>
      <c r="C50" s="64" t="n">
        <f aca="false">SUM(E50:P50)</f>
        <v>59420.83</v>
      </c>
      <c r="E50" s="107" t="n">
        <v>0</v>
      </c>
      <c r="F50" s="107" t="n">
        <v>0</v>
      </c>
      <c r="G50" s="107" t="n">
        <v>0</v>
      </c>
      <c r="H50" s="107" t="n">
        <v>11000</v>
      </c>
      <c r="I50" s="107" t="n">
        <v>11796.33</v>
      </c>
      <c r="J50" s="107" t="n">
        <v>12698.99</v>
      </c>
      <c r="K50" s="107" t="n">
        <v>11413.89</v>
      </c>
      <c r="L50" s="107" t="n">
        <v>12511.62</v>
      </c>
    </row>
    <row r="51" customFormat="false" ht="15" hidden="false" customHeight="false" outlineLevel="0" collapsed="false">
      <c r="A51" s="28" t="s">
        <v>2038</v>
      </c>
      <c r="B51" s="62" t="s">
        <v>2024</v>
      </c>
      <c r="C51" s="64" t="n">
        <f aca="false">SUM(E51:P51)</f>
        <v>29807.63</v>
      </c>
      <c r="E51" s="107" t="n">
        <v>0</v>
      </c>
      <c r="F51" s="107" t="n">
        <v>0</v>
      </c>
      <c r="G51" s="107" t="n">
        <v>0</v>
      </c>
      <c r="H51" s="107" t="n">
        <v>0</v>
      </c>
      <c r="I51" s="107" t="n">
        <v>0</v>
      </c>
      <c r="J51" s="107" t="n">
        <v>0</v>
      </c>
      <c r="K51" s="107" t="n">
        <v>14000</v>
      </c>
      <c r="L51" s="107" t="n">
        <v>15807.63</v>
      </c>
    </row>
    <row r="52" customFormat="false" ht="15" hidden="false" customHeight="false" outlineLevel="0" collapsed="false">
      <c r="A52" s="28" t="s">
        <v>2039</v>
      </c>
      <c r="B52" s="62" t="s">
        <v>2040</v>
      </c>
      <c r="C52" s="64" t="n">
        <f aca="false">P52</f>
        <v>0</v>
      </c>
      <c r="E52" s="107" t="n">
        <v>350000</v>
      </c>
      <c r="F52" s="107" t="n">
        <v>350000</v>
      </c>
      <c r="G52" s="107" t="n">
        <v>350000</v>
      </c>
      <c r="H52" s="107" t="n">
        <v>350000</v>
      </c>
      <c r="I52" s="107" t="n">
        <v>350000</v>
      </c>
      <c r="J52" s="107" t="n">
        <v>380000</v>
      </c>
      <c r="K52" s="107" t="n">
        <v>380000</v>
      </c>
      <c r="L52" s="107" t="n">
        <v>380000</v>
      </c>
    </row>
    <row r="53" customFormat="false" ht="15" hidden="false" customHeight="false" outlineLevel="0" collapsed="false">
      <c r="A53" s="28" t="s">
        <v>2041</v>
      </c>
      <c r="B53" s="62" t="s">
        <v>2040</v>
      </c>
      <c r="C53" s="64" t="n">
        <f aca="false">P53</f>
        <v>0</v>
      </c>
      <c r="E53" s="107" t="n">
        <v>280000</v>
      </c>
      <c r="F53" s="107" t="n">
        <v>280000</v>
      </c>
      <c r="G53" s="107" t="n">
        <v>280000</v>
      </c>
      <c r="H53" s="107" t="n">
        <v>280000</v>
      </c>
      <c r="I53" s="107" t="n">
        <v>280000</v>
      </c>
      <c r="J53" s="107" t="n">
        <v>280000</v>
      </c>
      <c r="K53" s="107" t="n">
        <v>280000</v>
      </c>
      <c r="L53" s="107" t="n">
        <v>280000</v>
      </c>
    </row>
    <row r="54" customFormat="false" ht="15" hidden="false" customHeight="false" outlineLevel="0" collapsed="false">
      <c r="A54" s="28" t="s">
        <v>2042</v>
      </c>
      <c r="B54" s="62" t="s">
        <v>2040</v>
      </c>
      <c r="C54" s="64" t="n">
        <f aca="false">P54</f>
        <v>0</v>
      </c>
      <c r="E54" s="107" t="n">
        <v>300000</v>
      </c>
      <c r="F54" s="107" t="n">
        <v>320000</v>
      </c>
      <c r="G54" s="107" t="n">
        <v>320000</v>
      </c>
      <c r="H54" s="107" t="n">
        <v>320000</v>
      </c>
      <c r="I54" s="107" t="n">
        <v>320000</v>
      </c>
      <c r="J54" s="107" t="n">
        <v>320000</v>
      </c>
      <c r="K54" s="107" t="n">
        <v>320000</v>
      </c>
      <c r="L54" s="107" t="n">
        <v>320000</v>
      </c>
    </row>
    <row r="55" customFormat="false" ht="15" hidden="false" customHeight="false" outlineLevel="0" collapsed="false">
      <c r="A55" s="28" t="s">
        <v>2043</v>
      </c>
      <c r="B55" s="62" t="s">
        <v>2040</v>
      </c>
      <c r="C55" s="64" t="n">
        <f aca="false">P55</f>
        <v>0</v>
      </c>
      <c r="E55" s="107" t="n">
        <v>190000</v>
      </c>
      <c r="F55" s="107" t="n">
        <v>190000</v>
      </c>
      <c r="G55" s="107" t="n">
        <v>190000</v>
      </c>
      <c r="H55" s="107" t="n">
        <v>210000</v>
      </c>
      <c r="I55" s="107" t="n">
        <v>210000</v>
      </c>
      <c r="J55" s="107" t="n">
        <v>210000</v>
      </c>
      <c r="K55" s="107" t="n">
        <v>210000</v>
      </c>
      <c r="L55" s="107" t="n">
        <v>210000</v>
      </c>
    </row>
    <row r="56" customFormat="false" ht="15" hidden="false" customHeight="false" outlineLevel="0" collapsed="false">
      <c r="A56" s="28" t="s">
        <v>2044</v>
      </c>
      <c r="B56" s="62" t="s">
        <v>2040</v>
      </c>
      <c r="C56" s="64" t="n">
        <f aca="false">P56</f>
        <v>0</v>
      </c>
      <c r="E56" s="107" t="n">
        <v>240000</v>
      </c>
      <c r="F56" s="107" t="n">
        <v>240000</v>
      </c>
      <c r="G56" s="107" t="n">
        <v>240000</v>
      </c>
      <c r="H56" s="107" t="n">
        <v>240000</v>
      </c>
      <c r="I56" s="107" t="n">
        <v>240000</v>
      </c>
      <c r="J56" s="107" t="n">
        <v>240000</v>
      </c>
      <c r="K56" s="107" t="n">
        <v>260000</v>
      </c>
      <c r="L56" s="107" t="n">
        <v>260000</v>
      </c>
    </row>
    <row r="57" customFormat="false" ht="15" hidden="false" customHeight="false" outlineLevel="0" collapsed="false">
      <c r="A57" s="28" t="s">
        <v>2045</v>
      </c>
      <c r="B57" s="62" t="s">
        <v>2040</v>
      </c>
      <c r="C57" s="64" t="n">
        <f aca="false">P57</f>
        <v>0</v>
      </c>
      <c r="E57" s="107" t="n">
        <v>220000</v>
      </c>
      <c r="F57" s="107" t="n">
        <v>220000</v>
      </c>
      <c r="G57" s="107" t="n">
        <v>220000</v>
      </c>
      <c r="H57" s="107" t="n">
        <v>220000</v>
      </c>
      <c r="I57" s="107" t="n">
        <v>220000</v>
      </c>
      <c r="J57" s="107" t="n">
        <v>220000</v>
      </c>
      <c r="K57" s="107" t="n">
        <v>220000</v>
      </c>
      <c r="L57" s="107" t="n">
        <v>220000</v>
      </c>
    </row>
    <row r="58" customFormat="false" ht="15" hidden="false" customHeight="false" outlineLevel="0" collapsed="false">
      <c r="A58" s="28" t="s">
        <v>2046</v>
      </c>
      <c r="B58" s="62" t="s">
        <v>2040</v>
      </c>
      <c r="C58" s="64" t="n">
        <f aca="false">P58</f>
        <v>0</v>
      </c>
      <c r="E58" s="107" t="n">
        <v>170000</v>
      </c>
      <c r="F58" s="107" t="n">
        <v>170000</v>
      </c>
      <c r="G58" s="107" t="n">
        <v>170000</v>
      </c>
      <c r="H58" s="107" t="n">
        <v>170000</v>
      </c>
      <c r="I58" s="107" t="n">
        <v>170000</v>
      </c>
      <c r="J58" s="107" t="n">
        <v>170000</v>
      </c>
      <c r="K58" s="107" t="n">
        <v>170000</v>
      </c>
      <c r="L58" s="107" t="n">
        <v>170000</v>
      </c>
    </row>
    <row r="59" customFormat="false" ht="15" hidden="false" customHeight="false" outlineLevel="0" collapsed="false">
      <c r="A59" s="28" t="s">
        <v>2047</v>
      </c>
      <c r="B59" s="62" t="s">
        <v>2040</v>
      </c>
      <c r="C59" s="64" t="n">
        <f aca="false">P59</f>
        <v>0</v>
      </c>
      <c r="E59" s="107" t="n">
        <v>160000</v>
      </c>
      <c r="F59" s="107" t="n">
        <v>160000</v>
      </c>
      <c r="G59" s="107" t="n">
        <v>0</v>
      </c>
      <c r="H59" s="107" t="n">
        <v>0</v>
      </c>
      <c r="I59" s="107" t="n">
        <v>0</v>
      </c>
      <c r="J59" s="107" t="n">
        <v>0</v>
      </c>
      <c r="K59" s="107" t="n">
        <v>0</v>
      </c>
      <c r="L59" s="107" t="n">
        <v>0</v>
      </c>
    </row>
    <row r="60" customFormat="false" ht="15" hidden="false" customHeight="false" outlineLevel="0" collapsed="false">
      <c r="A60" s="28" t="s">
        <v>2048</v>
      </c>
      <c r="B60" s="62" t="s">
        <v>2040</v>
      </c>
      <c r="C60" s="64" t="n">
        <f aca="false">P60</f>
        <v>0</v>
      </c>
      <c r="E60" s="107" t="n">
        <v>180000</v>
      </c>
      <c r="F60" s="107" t="n">
        <v>190000</v>
      </c>
      <c r="G60" s="107" t="n">
        <v>190000</v>
      </c>
      <c r="H60" s="107" t="n">
        <v>190000</v>
      </c>
      <c r="I60" s="107" t="n">
        <v>190000</v>
      </c>
      <c r="J60" s="107" t="n">
        <v>190000</v>
      </c>
      <c r="K60" s="107" t="n">
        <v>190000</v>
      </c>
      <c r="L60" s="107" t="n">
        <v>190000</v>
      </c>
    </row>
    <row r="61" customFormat="false" ht="15" hidden="false" customHeight="false" outlineLevel="0" collapsed="false">
      <c r="A61" s="28" t="s">
        <v>2049</v>
      </c>
      <c r="B61" s="62" t="s">
        <v>2040</v>
      </c>
      <c r="C61" s="64" t="n">
        <f aca="false">P61</f>
        <v>0</v>
      </c>
      <c r="E61" s="107" t="n">
        <v>160000</v>
      </c>
      <c r="F61" s="107" t="n">
        <v>160000</v>
      </c>
      <c r="G61" s="107" t="n">
        <v>160000</v>
      </c>
      <c r="H61" s="107" t="n">
        <v>170000</v>
      </c>
      <c r="I61" s="107" t="n">
        <v>170000</v>
      </c>
      <c r="J61" s="107" t="n">
        <v>170000</v>
      </c>
      <c r="K61" s="107" t="n">
        <v>170000</v>
      </c>
      <c r="L61" s="107" t="n">
        <v>170000</v>
      </c>
    </row>
    <row r="62" customFormat="false" ht="15" hidden="false" customHeight="false" outlineLevel="0" collapsed="false">
      <c r="A62" s="28" t="s">
        <v>2050</v>
      </c>
      <c r="B62" s="62" t="s">
        <v>2040</v>
      </c>
      <c r="C62" s="64" t="n">
        <f aca="false">P62</f>
        <v>0</v>
      </c>
      <c r="E62" s="107" t="n">
        <v>120000</v>
      </c>
      <c r="F62" s="107" t="n">
        <v>120000</v>
      </c>
      <c r="G62" s="107" t="n">
        <v>120000</v>
      </c>
      <c r="H62" s="107" t="n">
        <v>120000</v>
      </c>
      <c r="I62" s="107" t="n">
        <v>120000</v>
      </c>
      <c r="J62" s="107" t="n">
        <v>130000</v>
      </c>
      <c r="K62" s="107" t="n">
        <v>130000</v>
      </c>
      <c r="L62" s="107" t="n">
        <v>130000</v>
      </c>
    </row>
    <row r="63" customFormat="false" ht="15" hidden="false" customHeight="false" outlineLevel="0" collapsed="false">
      <c r="A63" s="28" t="s">
        <v>2051</v>
      </c>
      <c r="B63" s="62" t="s">
        <v>2040</v>
      </c>
      <c r="C63" s="64" t="n">
        <f aca="false">P63</f>
        <v>0</v>
      </c>
      <c r="E63" s="107" t="n">
        <v>140000</v>
      </c>
      <c r="F63" s="107" t="n">
        <v>140000</v>
      </c>
      <c r="G63" s="107" t="n">
        <v>140000</v>
      </c>
      <c r="H63" s="107" t="n">
        <v>140000</v>
      </c>
      <c r="I63" s="107" t="n">
        <v>140000</v>
      </c>
      <c r="J63" s="107" t="n">
        <v>140000</v>
      </c>
      <c r="K63" s="107" t="n">
        <v>140000</v>
      </c>
      <c r="L63" s="107" t="n">
        <v>150000</v>
      </c>
    </row>
    <row r="64" customFormat="false" ht="15" hidden="false" customHeight="false" outlineLevel="0" collapsed="false">
      <c r="A64" s="28" t="s">
        <v>2052</v>
      </c>
      <c r="B64" s="62" t="s">
        <v>2040</v>
      </c>
      <c r="C64" s="64" t="n">
        <f aca="false">P64</f>
        <v>0</v>
      </c>
      <c r="E64" s="107" t="n">
        <v>150000</v>
      </c>
      <c r="F64" s="107" t="n">
        <v>150000</v>
      </c>
      <c r="G64" s="107" t="n">
        <v>150000</v>
      </c>
      <c r="H64" s="107" t="n">
        <v>150000</v>
      </c>
      <c r="I64" s="107" t="n">
        <v>150000</v>
      </c>
      <c r="J64" s="107" t="n">
        <v>150000</v>
      </c>
      <c r="K64" s="107" t="n">
        <v>150000</v>
      </c>
      <c r="L64" s="107" t="n">
        <v>150000</v>
      </c>
    </row>
    <row r="65" customFormat="false" ht="15" hidden="false" customHeight="false" outlineLevel="0" collapsed="false">
      <c r="A65" s="28" t="s">
        <v>2053</v>
      </c>
      <c r="B65" s="62" t="s">
        <v>2040</v>
      </c>
      <c r="C65" s="64" t="n">
        <f aca="false">P65</f>
        <v>0</v>
      </c>
      <c r="E65" s="107" t="n">
        <v>0</v>
      </c>
      <c r="F65" s="107" t="n">
        <v>0</v>
      </c>
      <c r="G65" s="107" t="n">
        <v>0</v>
      </c>
      <c r="H65" s="107" t="n">
        <v>240000</v>
      </c>
      <c r="I65" s="107" t="n">
        <v>240000</v>
      </c>
      <c r="J65" s="107" t="n">
        <v>240000</v>
      </c>
      <c r="K65" s="107" t="n">
        <v>240000</v>
      </c>
      <c r="L65" s="107" t="n">
        <v>240000</v>
      </c>
    </row>
    <row r="66" customFormat="false" ht="15" hidden="false" customHeight="false" outlineLevel="0" collapsed="false">
      <c r="A66" s="28" t="s">
        <v>2054</v>
      </c>
      <c r="B66" s="62" t="s">
        <v>2040</v>
      </c>
      <c r="C66" s="64" t="n">
        <f aca="false">P66</f>
        <v>0</v>
      </c>
      <c r="E66" s="107" t="n">
        <v>0</v>
      </c>
      <c r="F66" s="107" t="n">
        <v>0</v>
      </c>
      <c r="G66" s="107" t="n">
        <v>0</v>
      </c>
      <c r="H66" s="107" t="n">
        <v>0</v>
      </c>
      <c r="I66" s="107" t="n">
        <v>0</v>
      </c>
      <c r="J66" s="107" t="n">
        <v>0</v>
      </c>
      <c r="K66" s="107" t="n">
        <v>300000</v>
      </c>
      <c r="L66" s="107" t="n">
        <v>300000</v>
      </c>
    </row>
    <row r="67" customFormat="false" ht="15" hidden="false" customHeight="false" outlineLevel="0" collapsed="false">
      <c r="A67" s="28" t="s">
        <v>2055</v>
      </c>
      <c r="B67" s="62" t="s">
        <v>2056</v>
      </c>
      <c r="C67" s="64" t="n">
        <f aca="false">P67</f>
        <v>0</v>
      </c>
      <c r="E67" s="107" t="n">
        <v>0</v>
      </c>
      <c r="F67" s="107" t="n">
        <v>0</v>
      </c>
      <c r="G67" s="107" t="n">
        <v>0</v>
      </c>
      <c r="H67" s="107" t="n">
        <v>0</v>
      </c>
      <c r="I67" s="107" t="n">
        <v>0</v>
      </c>
      <c r="J67" s="107" t="n">
        <v>0</v>
      </c>
      <c r="K67" s="107" t="n">
        <v>0</v>
      </c>
      <c r="L67" s="107" t="n">
        <v>4517.8</v>
      </c>
    </row>
    <row r="68" customFormat="false" ht="15" hidden="false" customHeight="false" outlineLevel="0" collapsed="false">
      <c r="A68" s="22" t="s">
        <v>2057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row>
    <row r="69" customFormat="false" ht="15" hidden="false" customHeight="false" outlineLevel="0" collapsed="false">
      <c r="A69" s="28" t="s">
        <v>2058</v>
      </c>
      <c r="B69" s="62" t="s">
        <v>2024</v>
      </c>
      <c r="C69" s="67" t="n">
        <f aca="false">SUM(E69:P69)</f>
        <v>26724.4</v>
      </c>
      <c r="E69" s="137" t="n">
        <v>3024.1</v>
      </c>
      <c r="F69" s="137" t="n">
        <v>3175.2</v>
      </c>
      <c r="G69" s="137" t="n">
        <v>3306.8</v>
      </c>
      <c r="H69" s="137" t="n">
        <v>3342.5</v>
      </c>
      <c r="I69" s="137" t="n">
        <v>3337.6</v>
      </c>
      <c r="J69" s="137" t="n">
        <v>3458</v>
      </c>
      <c r="K69" s="137" t="n">
        <v>3537.1</v>
      </c>
      <c r="L69" s="137" t="n">
        <v>3543.1</v>
      </c>
    </row>
    <row r="70" customFormat="false" ht="15" hidden="false" customHeight="false" outlineLevel="0" collapsed="false">
      <c r="A70" s="28" t="s">
        <v>2059</v>
      </c>
      <c r="B70" s="62" t="s">
        <v>2024</v>
      </c>
      <c r="C70" s="67" t="n">
        <f aca="false">SUM(E70:P70)</f>
        <v>21379.6</v>
      </c>
      <c r="E70" s="137" t="n">
        <v>2419.3</v>
      </c>
      <c r="F70" s="137" t="n">
        <v>2540.2</v>
      </c>
      <c r="G70" s="137" t="n">
        <v>2645.4</v>
      </c>
      <c r="H70" s="137" t="n">
        <v>2674</v>
      </c>
      <c r="I70" s="137" t="n">
        <v>2670.1</v>
      </c>
      <c r="J70" s="137" t="n">
        <v>2766.4</v>
      </c>
      <c r="K70" s="137" t="n">
        <v>2829.7</v>
      </c>
      <c r="L70" s="137" t="n">
        <v>2834.5</v>
      </c>
    </row>
    <row r="71" customFormat="false" ht="15" hidden="false" customHeight="false" outlineLevel="0" collapsed="false">
      <c r="A71" s="28" t="s">
        <v>2060</v>
      </c>
      <c r="B71" s="62" t="s">
        <v>2024</v>
      </c>
      <c r="C71" s="67" t="n">
        <f aca="false">SUM(E71:P71)</f>
        <v>6413.8</v>
      </c>
      <c r="E71" s="137" t="n">
        <v>725.8</v>
      </c>
      <c r="F71" s="137" t="n">
        <v>762.1</v>
      </c>
      <c r="G71" s="137" t="n">
        <v>793.6</v>
      </c>
      <c r="H71" s="137" t="n">
        <v>802.2</v>
      </c>
      <c r="I71" s="137" t="n">
        <v>801</v>
      </c>
      <c r="J71" s="137" t="n">
        <v>829.9</v>
      </c>
      <c r="K71" s="137" t="n">
        <v>848.9</v>
      </c>
      <c r="L71" s="137" t="n">
        <v>850.3</v>
      </c>
    </row>
    <row r="72" customFormat="false" ht="15" hidden="false" customHeight="false" outlineLevel="0" collapsed="false">
      <c r="A72" s="28" t="s">
        <v>2061</v>
      </c>
      <c r="B72" s="62" t="s">
        <v>2024</v>
      </c>
      <c r="C72" s="67" t="n">
        <f aca="false">SUM(E72:P72)</f>
        <v>50154.3</v>
      </c>
      <c r="E72" s="137" t="n">
        <v>5777.2</v>
      </c>
      <c r="F72" s="137" t="n">
        <v>5839.7</v>
      </c>
      <c r="G72" s="137" t="n">
        <v>6059.2</v>
      </c>
      <c r="H72" s="137" t="n">
        <v>6145.7</v>
      </c>
      <c r="I72" s="137" t="n">
        <v>6407.4</v>
      </c>
      <c r="J72" s="137" t="n">
        <v>6641.2</v>
      </c>
      <c r="K72" s="137" t="n">
        <v>6632.3</v>
      </c>
      <c r="L72" s="137" t="n">
        <v>6651.6</v>
      </c>
    </row>
    <row r="73" customFormat="false" ht="15" hidden="false" customHeight="false" outlineLevel="0" collapsed="false">
      <c r="A73" s="28" t="s">
        <v>2062</v>
      </c>
      <c r="B73" s="62" t="s">
        <v>2024</v>
      </c>
      <c r="C73" s="67" t="n">
        <f aca="false">SUM(E73:P73)</f>
        <v>41795.1</v>
      </c>
      <c r="E73" s="137" t="n">
        <v>4814.3</v>
      </c>
      <c r="F73" s="137" t="n">
        <v>4866.4</v>
      </c>
      <c r="G73" s="137" t="n">
        <v>5049.3</v>
      </c>
      <c r="H73" s="137" t="n">
        <v>5121.4</v>
      </c>
      <c r="I73" s="137" t="n">
        <v>5339.5</v>
      </c>
      <c r="J73" s="137" t="n">
        <v>5534.3</v>
      </c>
      <c r="K73" s="137" t="n">
        <v>5526.9</v>
      </c>
      <c r="L73" s="137" t="n">
        <v>5543</v>
      </c>
    </row>
    <row r="74" customFormat="false" ht="15" hidden="false" customHeight="false" outlineLevel="0" collapsed="false">
      <c r="A74" s="28" t="s">
        <v>2063</v>
      </c>
      <c r="B74" s="62" t="s">
        <v>2024</v>
      </c>
      <c r="C74" s="67" t="n">
        <f aca="false">SUM(E74:P74)</f>
        <v>26331</v>
      </c>
      <c r="E74" s="137" t="n">
        <v>3033</v>
      </c>
      <c r="F74" s="137" t="n">
        <v>3065.9</v>
      </c>
      <c r="G74" s="137" t="n">
        <v>3181.1</v>
      </c>
      <c r="H74" s="137" t="n">
        <v>3226.5</v>
      </c>
      <c r="I74" s="137" t="n">
        <v>3363.9</v>
      </c>
      <c r="J74" s="137" t="n">
        <v>3486.6</v>
      </c>
      <c r="K74" s="137" t="n">
        <v>3481.9</v>
      </c>
      <c r="L74" s="137" t="n">
        <v>3492.1</v>
      </c>
    </row>
    <row r="75" customFormat="false" ht="15" hidden="false" customHeight="false" outlineLevel="0" collapsed="false">
      <c r="A75" s="28" t="s">
        <v>2064</v>
      </c>
      <c r="B75" s="62" t="s">
        <v>2024</v>
      </c>
      <c r="C75" s="67" t="n">
        <f aca="false">SUM(E75:P75)</f>
        <v>102754.2</v>
      </c>
      <c r="E75" s="137" t="n">
        <v>11589.7</v>
      </c>
      <c r="F75" s="137" t="n">
        <v>11899.1</v>
      </c>
      <c r="G75" s="137" t="n">
        <v>11599.8</v>
      </c>
      <c r="H75" s="137" t="n">
        <v>12705.5</v>
      </c>
      <c r="I75" s="137" t="n">
        <v>12837</v>
      </c>
      <c r="J75" s="137" t="n">
        <v>13328.9</v>
      </c>
      <c r="K75" s="137" t="n">
        <v>14412.8</v>
      </c>
      <c r="L75" s="137" t="n">
        <v>14381.4</v>
      </c>
    </row>
    <row r="76" customFormat="false" ht="15" hidden="false" customHeight="false" outlineLevel="0" collapsed="false">
      <c r="A76" s="28" t="s">
        <v>2065</v>
      </c>
      <c r="B76" s="62" t="s">
        <v>2024</v>
      </c>
      <c r="C76" s="67" t="n">
        <f aca="false">SUM(E76:P76)</f>
        <v>99068.3</v>
      </c>
      <c r="E76" s="137" t="n">
        <v>11404.9</v>
      </c>
      <c r="F76" s="137" t="n">
        <v>11811.6</v>
      </c>
      <c r="G76" s="137" t="n">
        <v>11307.7</v>
      </c>
      <c r="H76" s="137" t="n">
        <v>11687</v>
      </c>
      <c r="I76" s="137" t="n">
        <v>11836.6</v>
      </c>
      <c r="J76" s="137" t="n">
        <v>12143.2</v>
      </c>
      <c r="K76" s="137" t="n">
        <v>14444.4</v>
      </c>
      <c r="L76" s="137" t="n">
        <v>14432.9</v>
      </c>
    </row>
    <row r="77" customFormat="false" ht="15" hidden="false" customHeight="false" outlineLevel="0" collapsed="false">
      <c r="A77" s="28" t="s">
        <v>2066</v>
      </c>
      <c r="B77" s="62" t="s">
        <v>2024</v>
      </c>
      <c r="C77" s="67" t="n">
        <f aca="false">SUM(E77:P77)</f>
        <v>32466.6</v>
      </c>
      <c r="E77" s="137" t="n">
        <v>3907</v>
      </c>
      <c r="F77" s="137" t="n">
        <v>4049.6</v>
      </c>
      <c r="G77" s="137" t="n">
        <v>3534.8</v>
      </c>
      <c r="H77" s="137" t="n">
        <v>3845.5</v>
      </c>
      <c r="I77" s="137" t="n">
        <v>3884.9</v>
      </c>
      <c r="J77" s="137" t="n">
        <v>4048.9</v>
      </c>
      <c r="K77" s="137" t="n">
        <v>4571.1</v>
      </c>
      <c r="L77" s="137" t="n">
        <v>4624.8</v>
      </c>
    </row>
    <row r="78" customFormat="false" ht="15" hidden="false" customHeight="false" outlineLevel="0" collapsed="false">
      <c r="A78" s="28" t="s">
        <v>2067</v>
      </c>
      <c r="B78" s="62" t="s">
        <v>2068</v>
      </c>
      <c r="C78" s="64" t="n">
        <f aca="false">SUM(E78:P78)</f>
        <v>66690.4</v>
      </c>
      <c r="E78" s="107" t="n">
        <v>7765.7</v>
      </c>
      <c r="F78" s="107" t="n">
        <v>7987.1</v>
      </c>
      <c r="G78" s="107" t="n">
        <v>7942.4</v>
      </c>
      <c r="H78" s="107" t="n">
        <v>8104.3</v>
      </c>
      <c r="I78" s="107" t="n">
        <v>8251.7</v>
      </c>
      <c r="J78" s="107" t="n">
        <v>8530.3</v>
      </c>
      <c r="K78" s="107" t="n">
        <v>9053.4</v>
      </c>
      <c r="L78" s="107" t="n">
        <v>9055.5</v>
      </c>
    </row>
    <row r="79" customFormat="false" ht="15" hidden="false" customHeight="false" outlineLevel="0" collapsed="false">
      <c r="A79" s="28" t="s">
        <v>2069</v>
      </c>
      <c r="B79" s="62" t="s">
        <v>2068</v>
      </c>
      <c r="C79" s="64" t="n">
        <f aca="false">SUM(E79:P79)</f>
        <v>12096.1</v>
      </c>
      <c r="E79" s="107" t="n">
        <v>2000</v>
      </c>
      <c r="F79" s="107" t="n">
        <v>1152.1</v>
      </c>
      <c r="G79" s="107" t="n">
        <v>2000</v>
      </c>
      <c r="H79" s="107" t="n">
        <v>1687.7</v>
      </c>
      <c r="I79" s="107" t="n">
        <v>1866.7</v>
      </c>
      <c r="J79" s="107" t="n">
        <v>1261.7</v>
      </c>
      <c r="K79" s="107" t="n">
        <v>1065</v>
      </c>
      <c r="L79" s="107" t="n">
        <v>1062.9</v>
      </c>
    </row>
    <row r="80" customFormat="false" ht="15" hidden="false" customHeight="false" outlineLevel="0" collapsed="false">
      <c r="A80" s="28" t="s">
        <v>377</v>
      </c>
      <c r="B80" s="62" t="s">
        <v>2070</v>
      </c>
      <c r="C80" s="64" t="n">
        <f aca="false">SUM(E80:P80)</f>
        <v>0</v>
      </c>
      <c r="E80" s="107" t="n">
        <v>0</v>
      </c>
      <c r="F80" s="107" t="n">
        <v>0</v>
      </c>
      <c r="G80" s="107" t="n">
        <v>0</v>
      </c>
      <c r="H80" s="107" t="n">
        <v>0</v>
      </c>
      <c r="I80" s="107" t="n">
        <v>0</v>
      </c>
      <c r="J80" s="107" t="n">
        <v>0</v>
      </c>
      <c r="K80" s="107" t="n">
        <v>0</v>
      </c>
      <c r="L80" s="107" t="n">
        <v>0</v>
      </c>
    </row>
    <row r="81" customFormat="false" ht="15" hidden="false" customHeight="false" outlineLevel="0" collapsed="false">
      <c r="A81" s="28" t="s">
        <v>2071</v>
      </c>
      <c r="B81" s="62" t="s">
        <v>2070</v>
      </c>
      <c r="C81" s="64" t="n">
        <f aca="false">SUM(E81:P81)</f>
        <v>181958.4</v>
      </c>
      <c r="E81" s="107" t="n">
        <v>23212.8</v>
      </c>
      <c r="F81" s="107" t="n">
        <v>20966.4</v>
      </c>
      <c r="G81" s="107" t="n">
        <v>23212.8</v>
      </c>
      <c r="H81" s="107" t="n">
        <v>22464</v>
      </c>
      <c r="I81" s="107" t="n">
        <v>23212.8</v>
      </c>
      <c r="J81" s="107" t="n">
        <v>22464</v>
      </c>
      <c r="K81" s="107" t="n">
        <v>23212.8</v>
      </c>
      <c r="L81" s="107" t="n">
        <v>23212.8</v>
      </c>
    </row>
    <row r="82" customFormat="false" ht="15" hidden="false" customHeight="false" outlineLevel="0" collapsed="false">
      <c r="A82" s="28" t="s">
        <v>2072</v>
      </c>
      <c r="B82" s="62" t="s">
        <v>2070</v>
      </c>
      <c r="C82" s="64" t="n">
        <f aca="false">SUM(E82:P82)</f>
        <v>0</v>
      </c>
      <c r="E82" s="107" t="n">
        <v>0</v>
      </c>
      <c r="F82" s="107" t="n">
        <v>0</v>
      </c>
      <c r="G82" s="107" t="n">
        <v>0</v>
      </c>
      <c r="H82" s="107" t="n">
        <v>0</v>
      </c>
      <c r="I82" s="107" t="n">
        <v>0</v>
      </c>
      <c r="J82" s="107" t="n">
        <v>0</v>
      </c>
      <c r="K82" s="107" t="n">
        <v>0</v>
      </c>
      <c r="L82" s="107" t="n">
        <v>0</v>
      </c>
    </row>
    <row r="83" customFormat="false" ht="15" hidden="false" customHeight="false" outlineLevel="0" collapsed="false">
      <c r="A83" s="28" t="s">
        <v>2073</v>
      </c>
      <c r="B83" s="62" t="s">
        <v>2070</v>
      </c>
      <c r="C83" s="64" t="n">
        <f aca="false">SUM(E83:P83)</f>
        <v>256778.1</v>
      </c>
      <c r="E83" s="107" t="n">
        <v>32001.99</v>
      </c>
      <c r="F83" s="107" t="n">
        <v>31169.81</v>
      </c>
      <c r="G83" s="107" t="n">
        <v>29925.08</v>
      </c>
      <c r="H83" s="107" t="n">
        <v>30371.93</v>
      </c>
      <c r="I83" s="107" t="n">
        <v>30331.75</v>
      </c>
      <c r="J83" s="107" t="n">
        <v>33315.01</v>
      </c>
      <c r="K83" s="107" t="n">
        <v>34707.42</v>
      </c>
      <c r="L83" s="107" t="n">
        <v>34955.11</v>
      </c>
    </row>
    <row r="84" customFormat="false" ht="15" hidden="false" customHeight="false" outlineLevel="0" collapsed="false">
      <c r="A84" s="28" t="s">
        <v>2074</v>
      </c>
      <c r="B84" s="62" t="s">
        <v>2075</v>
      </c>
      <c r="C84" s="64" t="n">
        <f aca="false">SUM(E84:P84)</f>
        <v>390325.6</v>
      </c>
      <c r="E84" s="107" t="n">
        <v>45363.6</v>
      </c>
      <c r="F84" s="107" t="n">
        <v>46694.3</v>
      </c>
      <c r="G84" s="107" t="n">
        <v>45331.2</v>
      </c>
      <c r="H84" s="107" t="n">
        <v>47001.3</v>
      </c>
      <c r="I84" s="107" t="n">
        <v>47964.9</v>
      </c>
      <c r="J84" s="107" t="n">
        <v>49628.9</v>
      </c>
      <c r="K84" s="107" t="n">
        <v>54067.2</v>
      </c>
      <c r="L84" s="107" t="n">
        <v>54274.2</v>
      </c>
    </row>
    <row r="85" customFormat="false" ht="15" hidden="false" customHeight="false" outlineLevel="0" collapsed="false">
      <c r="A85" s="28" t="s">
        <v>2076</v>
      </c>
      <c r="B85" s="62" t="s">
        <v>2077</v>
      </c>
      <c r="C85" s="64" t="n">
        <f aca="false">SUM(E85:P85)</f>
        <v>780871.7</v>
      </c>
      <c r="E85" s="107" t="n">
        <v>90587.32</v>
      </c>
      <c r="F85" s="107" t="n">
        <v>93347.54</v>
      </c>
      <c r="G85" s="107" t="n">
        <v>92058.43</v>
      </c>
      <c r="H85" s="107" t="n">
        <v>91600.75</v>
      </c>
      <c r="I85" s="107" t="n">
        <v>99739.14</v>
      </c>
      <c r="J85" s="107" t="n">
        <v>97887.62</v>
      </c>
      <c r="K85" s="107" t="n">
        <v>106990.41</v>
      </c>
      <c r="L85" s="107" t="n">
        <v>108660.49</v>
      </c>
    </row>
    <row r="86" customFormat="false" ht="15" hidden="false" customHeight="false" outlineLevel="0" collapsed="false">
      <c r="A86" s="28" t="s">
        <v>2078</v>
      </c>
      <c r="B86" s="62" t="s">
        <v>2079</v>
      </c>
      <c r="C86" s="64" t="n">
        <f aca="false">SUM(E86:P86)</f>
        <v>44908.1</v>
      </c>
      <c r="E86" s="107" t="n">
        <v>5097.8</v>
      </c>
      <c r="F86" s="107" t="n">
        <v>5228.5</v>
      </c>
      <c r="G86" s="107" t="n">
        <v>5241.4</v>
      </c>
      <c r="H86" s="107" t="n">
        <v>5548.4</v>
      </c>
      <c r="I86" s="107" t="n">
        <v>5645.5</v>
      </c>
      <c r="J86" s="107" t="n">
        <v>5857</v>
      </c>
      <c r="K86" s="107" t="n">
        <v>6145.5</v>
      </c>
      <c r="L86" s="107" t="n">
        <v>6144</v>
      </c>
    </row>
    <row r="87" customFormat="false" ht="15" hidden="false" customHeight="false" outlineLevel="0" collapsed="false">
      <c r="A87" s="28" t="s">
        <v>1016</v>
      </c>
      <c r="B87" s="62" t="s">
        <v>2080</v>
      </c>
      <c r="C87" s="64" t="n">
        <f aca="false">SUM(E87:P87)</f>
        <v>71431.42</v>
      </c>
      <c r="E87" s="107" t="n">
        <v>8172.87</v>
      </c>
      <c r="F87" s="107" t="n">
        <v>8429.57</v>
      </c>
      <c r="G87" s="107" t="n">
        <v>8033.9</v>
      </c>
      <c r="H87" s="107" t="n">
        <v>8834.88</v>
      </c>
      <c r="I87" s="107" t="n">
        <v>9004.17</v>
      </c>
      <c r="J87" s="107" t="n">
        <v>9240.64</v>
      </c>
      <c r="K87" s="107" t="n">
        <v>9844.35</v>
      </c>
      <c r="L87" s="107" t="n">
        <v>9871.04</v>
      </c>
    </row>
    <row r="88" customFormat="false" ht="15" hidden="false" customHeight="false" outlineLevel="0" collapsed="false">
      <c r="A88" s="28" t="s">
        <v>2081</v>
      </c>
      <c r="B88" s="62" t="s">
        <v>2082</v>
      </c>
      <c r="C88" s="64" t="n">
        <f aca="false">P88</f>
        <v>0</v>
      </c>
      <c r="E88" s="107" t="n">
        <v>0</v>
      </c>
      <c r="F88" s="107" t="n">
        <v>0</v>
      </c>
      <c r="G88" s="107" t="n">
        <v>0</v>
      </c>
      <c r="H88" s="107" t="n">
        <v>0</v>
      </c>
      <c r="I88" s="107" t="n">
        <v>0</v>
      </c>
      <c r="J88" s="107" t="n">
        <v>55000</v>
      </c>
      <c r="K88" s="107" t="n">
        <v>80000</v>
      </c>
      <c r="L88" s="107" t="n">
        <v>113500</v>
      </c>
    </row>
    <row r="89" customFormat="false" ht="15" hidden="false" customHeight="false" outlineLevel="0" collapsed="false">
      <c r="A89" s="22" t="s">
        <v>2083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row>
    <row r="90" customFormat="false" ht="15" hidden="false" customHeight="false" outlineLevel="0" collapsed="false">
      <c r="A90" s="28" t="s">
        <v>1262</v>
      </c>
      <c r="B90" s="62" t="s">
        <v>2084</v>
      </c>
      <c r="C90" s="64" t="n">
        <f aca="false">SUM(E90:P90)</f>
        <v>2287263.84</v>
      </c>
      <c r="E90" s="107" t="n">
        <v>271356.79</v>
      </c>
      <c r="F90" s="107" t="n">
        <v>279644.1</v>
      </c>
      <c r="G90" s="107" t="n">
        <v>284994.22</v>
      </c>
      <c r="H90" s="107" t="n">
        <v>293129.64</v>
      </c>
      <c r="I90" s="107" t="n">
        <v>286465.73</v>
      </c>
      <c r="J90" s="107" t="n">
        <v>292350.55</v>
      </c>
      <c r="K90" s="107" t="n">
        <v>292577.46</v>
      </c>
      <c r="L90" s="107" t="n">
        <v>286745.35</v>
      </c>
    </row>
    <row r="91" customFormat="false" ht="15" hidden="false" customHeight="false" outlineLevel="0" collapsed="false">
      <c r="A91" s="28" t="s">
        <v>2085</v>
      </c>
      <c r="B91" s="62" t="s">
        <v>2084</v>
      </c>
      <c r="C91" s="64" t="n">
        <f aca="false">SUM(E91:P91)</f>
        <v>826304.46</v>
      </c>
      <c r="E91" s="107" t="n">
        <v>98305.61</v>
      </c>
      <c r="F91" s="107" t="n">
        <v>101080.11</v>
      </c>
      <c r="G91" s="107" t="n">
        <v>103127.91</v>
      </c>
      <c r="H91" s="107" t="n">
        <v>105634.79</v>
      </c>
      <c r="I91" s="107" t="n">
        <v>103675.59</v>
      </c>
      <c r="J91" s="107" t="n">
        <v>105575.49</v>
      </c>
      <c r="K91" s="107" t="n">
        <v>105687.75</v>
      </c>
      <c r="L91" s="107" t="n">
        <v>103217.21</v>
      </c>
    </row>
    <row r="92" customFormat="false" ht="15" hidden="false" customHeight="false" outlineLevel="0" collapsed="false">
      <c r="A92" s="28" t="s">
        <v>2086</v>
      </c>
      <c r="B92" s="62" t="s">
        <v>2084</v>
      </c>
      <c r="C92" s="64" t="n">
        <f aca="false">SUM(E92:P92)</f>
        <v>0</v>
      </c>
      <c r="E92" s="107" t="n">
        <v>0</v>
      </c>
      <c r="F92" s="107" t="n">
        <v>0</v>
      </c>
      <c r="G92" s="107" t="n">
        <v>0</v>
      </c>
      <c r="H92" s="107" t="n">
        <v>0</v>
      </c>
      <c r="I92" s="107" t="n">
        <v>0</v>
      </c>
      <c r="J92" s="107" t="n">
        <v>0</v>
      </c>
      <c r="K92" s="107" t="n">
        <v>0</v>
      </c>
      <c r="L92" s="107" t="n">
        <v>0</v>
      </c>
    </row>
    <row r="93" customFormat="false" ht="15" hidden="false" customHeight="false" outlineLevel="0" collapsed="false">
      <c r="A93" s="28" t="s">
        <v>1265</v>
      </c>
      <c r="B93" s="62" t="s">
        <v>2084</v>
      </c>
      <c r="C93" s="64" t="n">
        <f aca="false">SUM(E93:P93)</f>
        <v>223392.1</v>
      </c>
      <c r="E93" s="107" t="n">
        <v>26523.58</v>
      </c>
      <c r="F93" s="107" t="n">
        <v>27503.35</v>
      </c>
      <c r="G93" s="107" t="n">
        <v>27822.05</v>
      </c>
      <c r="H93" s="107" t="n">
        <v>28599.6</v>
      </c>
      <c r="I93" s="107" t="n">
        <v>27957.74</v>
      </c>
      <c r="J93" s="107" t="n">
        <v>28480.84</v>
      </c>
      <c r="K93" s="107" t="n">
        <v>28574.6</v>
      </c>
      <c r="L93" s="107" t="n">
        <v>27930.34</v>
      </c>
    </row>
    <row r="94" customFormat="false" ht="15" hidden="false" customHeight="false" outlineLevel="0" collapsed="false">
      <c r="A94" s="28" t="s">
        <v>2087</v>
      </c>
      <c r="B94" s="62" t="s">
        <v>2084</v>
      </c>
      <c r="C94" s="64" t="n">
        <f aca="false">SUM(E94:P94)</f>
        <v>36960</v>
      </c>
      <c r="E94" s="107" t="n">
        <v>4400</v>
      </c>
      <c r="F94" s="107" t="n">
        <v>4510</v>
      </c>
      <c r="G94" s="107" t="n">
        <v>4620</v>
      </c>
      <c r="H94" s="107" t="n">
        <v>4730</v>
      </c>
      <c r="I94" s="107" t="n">
        <v>4620</v>
      </c>
      <c r="J94" s="107" t="n">
        <v>4730</v>
      </c>
      <c r="K94" s="107" t="n">
        <v>4730</v>
      </c>
      <c r="L94" s="107" t="n">
        <v>4620</v>
      </c>
    </row>
    <row r="95" customFormat="false" ht="15" hidden="false" customHeight="false" outlineLevel="0" collapsed="false">
      <c r="A95" s="28" t="s">
        <v>2088</v>
      </c>
      <c r="B95" s="62" t="s">
        <v>2084</v>
      </c>
      <c r="C95" s="64" t="n">
        <f aca="false">SUM(E95:P95)</f>
        <v>319890.53</v>
      </c>
      <c r="E95" s="107" t="n">
        <v>38039.25</v>
      </c>
      <c r="F95" s="107" t="n">
        <v>39126.57</v>
      </c>
      <c r="G95" s="107" t="n">
        <v>39982.18</v>
      </c>
      <c r="H95" s="107" t="n">
        <v>40903.99</v>
      </c>
      <c r="I95" s="107" t="n">
        <v>40048.38</v>
      </c>
      <c r="J95" s="107" t="n">
        <v>40903.99</v>
      </c>
      <c r="K95" s="107" t="n">
        <v>40903.99</v>
      </c>
      <c r="L95" s="107" t="n">
        <v>39982.18</v>
      </c>
    </row>
    <row r="96" customFormat="false" ht="15" hidden="false" customHeight="false" outlineLevel="0" collapsed="false">
      <c r="A96" s="28" t="s">
        <v>1268</v>
      </c>
      <c r="B96" s="62" t="s">
        <v>2084</v>
      </c>
      <c r="C96" s="64" t="n">
        <f aca="false">SUM(E96:P96)</f>
        <v>149142.85</v>
      </c>
      <c r="E96" s="107" t="n">
        <v>17712.35</v>
      </c>
      <c r="F96" s="107" t="n">
        <v>18290.86</v>
      </c>
      <c r="G96" s="107" t="n">
        <v>18638.74</v>
      </c>
      <c r="H96" s="107" t="n">
        <v>19052.51</v>
      </c>
      <c r="I96" s="107" t="n">
        <v>18704.63</v>
      </c>
      <c r="J96" s="107" t="n">
        <v>19052.51</v>
      </c>
      <c r="K96" s="107" t="n">
        <v>19052.51</v>
      </c>
      <c r="L96" s="107" t="n">
        <v>18638.74</v>
      </c>
    </row>
    <row r="97" customFormat="false" ht="15" hidden="false" customHeight="false" outlineLevel="0" collapsed="false">
      <c r="A97" s="28" t="s">
        <v>2089</v>
      </c>
      <c r="B97" s="62" t="s">
        <v>2084</v>
      </c>
      <c r="C97" s="64" t="n">
        <f aca="false">SUM(E97:P97)</f>
        <v>239167.85</v>
      </c>
      <c r="E97" s="107" t="n">
        <v>28420.42</v>
      </c>
      <c r="F97" s="107" t="n">
        <v>29363.11</v>
      </c>
      <c r="G97" s="107" t="n">
        <v>29890.68</v>
      </c>
      <c r="H97" s="107" t="n">
        <v>30532.63</v>
      </c>
      <c r="I97" s="107" t="n">
        <v>30005.07</v>
      </c>
      <c r="J97" s="107" t="n">
        <v>30532.63</v>
      </c>
      <c r="K97" s="107" t="n">
        <v>30532.63</v>
      </c>
      <c r="L97" s="107" t="n">
        <v>29890.68</v>
      </c>
    </row>
    <row r="98" customFormat="false" ht="15" hidden="false" customHeight="false" outlineLevel="0" collapsed="false">
      <c r="A98" s="28" t="s">
        <v>2090</v>
      </c>
      <c r="B98" s="62" t="s">
        <v>2084</v>
      </c>
      <c r="C98" s="64" t="n">
        <f aca="false">SUM(E98:P98)</f>
        <v>1579062.61</v>
      </c>
      <c r="E98" s="107" t="n">
        <v>187184.77</v>
      </c>
      <c r="F98" s="107" t="n">
        <v>192863.56</v>
      </c>
      <c r="G98" s="107" t="n">
        <v>196482.62</v>
      </c>
      <c r="H98" s="107" t="n">
        <v>202640.51</v>
      </c>
      <c r="I98" s="107" t="n">
        <v>197707.65</v>
      </c>
      <c r="J98" s="107" t="n">
        <v>201861.42</v>
      </c>
      <c r="K98" s="107" t="n">
        <v>202088.33</v>
      </c>
      <c r="L98" s="107" t="n">
        <v>198233.75</v>
      </c>
    </row>
    <row r="99" customFormat="false" ht="15" hidden="false" customHeight="false" outlineLevel="0" collapsed="false">
      <c r="A99" s="28" t="s">
        <v>1272</v>
      </c>
      <c r="B99" s="62" t="s">
        <v>2084</v>
      </c>
      <c r="C99" s="64" t="n">
        <f aca="false">SUM(E99:P99)</f>
        <v>401835.04</v>
      </c>
      <c r="E99" s="107" t="n">
        <v>44731.88</v>
      </c>
      <c r="F99" s="107" t="n">
        <v>44644.94</v>
      </c>
      <c r="G99" s="107" t="n">
        <v>48929.27</v>
      </c>
      <c r="H99" s="107" t="n">
        <v>49028.66</v>
      </c>
      <c r="I99" s="107" t="n">
        <v>53697.65</v>
      </c>
      <c r="J99" s="107" t="n">
        <v>53568.65</v>
      </c>
      <c r="K99" s="107" t="n">
        <v>53627.56</v>
      </c>
      <c r="L99" s="107" t="n">
        <v>53606.43</v>
      </c>
    </row>
    <row r="100" customFormat="false" ht="15" hidden="false" customHeight="false" outlineLevel="0" collapsed="false">
      <c r="A100" s="28" t="s">
        <v>2091</v>
      </c>
      <c r="B100" s="62" t="s">
        <v>2084</v>
      </c>
      <c r="C100" s="64" t="n">
        <f aca="false">SUM(E100:P100)</f>
        <v>144112.62</v>
      </c>
      <c r="E100" s="107" t="n">
        <v>16001.64</v>
      </c>
      <c r="F100" s="107" t="n">
        <v>16049.25</v>
      </c>
      <c r="G100" s="107" t="n">
        <v>17545.79</v>
      </c>
      <c r="H100" s="107" t="n">
        <v>17665.12</v>
      </c>
      <c r="I100" s="107" t="n">
        <v>19286.37</v>
      </c>
      <c r="J100" s="107" t="n">
        <v>19168.16</v>
      </c>
      <c r="K100" s="107" t="n">
        <v>19180.91</v>
      </c>
      <c r="L100" s="107" t="n">
        <v>19215.38</v>
      </c>
    </row>
    <row r="101" customFormat="false" ht="15" hidden="false" customHeight="false" outlineLevel="0" collapsed="false">
      <c r="A101" s="28" t="s">
        <v>2092</v>
      </c>
      <c r="B101" s="62" t="s">
        <v>2084</v>
      </c>
      <c r="C101" s="64" t="n">
        <f aca="false">SUM(E101:P101)</f>
        <v>11790.37</v>
      </c>
      <c r="E101" s="107" t="n">
        <v>1274.26</v>
      </c>
      <c r="F101" s="107" t="n">
        <v>1274.26</v>
      </c>
      <c r="G101" s="107" t="n">
        <v>1408.19</v>
      </c>
      <c r="H101" s="107" t="n">
        <v>1408.19</v>
      </c>
      <c r="I101" s="107" t="n">
        <v>1525.87</v>
      </c>
      <c r="J101" s="107" t="n">
        <v>1633.2</v>
      </c>
      <c r="K101" s="107" t="n">
        <v>1633.2</v>
      </c>
      <c r="L101" s="107" t="n">
        <v>1633.2</v>
      </c>
    </row>
    <row r="102" customFormat="false" ht="15" hidden="false" customHeight="false" outlineLevel="0" collapsed="false">
      <c r="A102" s="28" t="s">
        <v>1275</v>
      </c>
      <c r="B102" s="62" t="s">
        <v>2084</v>
      </c>
      <c r="C102" s="64" t="n">
        <f aca="false">SUM(E102:P102)</f>
        <v>28697.26</v>
      </c>
      <c r="E102" s="107" t="n">
        <v>3190.8</v>
      </c>
      <c r="F102" s="107" t="n">
        <v>3194.07</v>
      </c>
      <c r="G102" s="107" t="n">
        <v>3487.66</v>
      </c>
      <c r="H102" s="107" t="n">
        <v>3490.78</v>
      </c>
      <c r="I102" s="107" t="n">
        <v>3834.33</v>
      </c>
      <c r="J102" s="107" t="n">
        <v>3836.43</v>
      </c>
      <c r="K102" s="107" t="n">
        <v>3828.49</v>
      </c>
      <c r="L102" s="107" t="n">
        <v>3834.7</v>
      </c>
    </row>
    <row r="103" customFormat="false" ht="15" hidden="false" customHeight="false" outlineLevel="0" collapsed="false">
      <c r="A103" s="28" t="s">
        <v>2093</v>
      </c>
      <c r="B103" s="62" t="s">
        <v>2084</v>
      </c>
      <c r="C103" s="64" t="n">
        <f aca="false">SUM(E103:P103)</f>
        <v>9900</v>
      </c>
      <c r="E103" s="107" t="n">
        <v>1100</v>
      </c>
      <c r="F103" s="107" t="n">
        <v>1100</v>
      </c>
      <c r="G103" s="107" t="n">
        <v>1210</v>
      </c>
      <c r="H103" s="107" t="n">
        <v>1210</v>
      </c>
      <c r="I103" s="107" t="n">
        <v>1320</v>
      </c>
      <c r="J103" s="107" t="n">
        <v>1320</v>
      </c>
      <c r="K103" s="107" t="n">
        <v>1320</v>
      </c>
      <c r="L103" s="107" t="n">
        <v>1320</v>
      </c>
    </row>
    <row r="104" customFormat="false" ht="15" hidden="false" customHeight="false" outlineLevel="0" collapsed="false">
      <c r="A104" s="28" t="s">
        <v>2094</v>
      </c>
      <c r="B104" s="62" t="s">
        <v>2084</v>
      </c>
      <c r="C104" s="64" t="n">
        <f aca="false">SUM(E104:P104)</f>
        <v>64790.64</v>
      </c>
      <c r="E104" s="107" t="n">
        <v>7198.96</v>
      </c>
      <c r="F104" s="107" t="n">
        <v>7198.96</v>
      </c>
      <c r="G104" s="107" t="n">
        <v>7905.62</v>
      </c>
      <c r="H104" s="107" t="n">
        <v>7905.62</v>
      </c>
      <c r="I104" s="107" t="n">
        <v>8645.37</v>
      </c>
      <c r="J104" s="107" t="n">
        <v>8645.37</v>
      </c>
      <c r="K104" s="107" t="n">
        <v>8645.37</v>
      </c>
      <c r="L104" s="107" t="n">
        <v>8645.37</v>
      </c>
    </row>
    <row r="105" customFormat="false" ht="15" hidden="false" customHeight="false" outlineLevel="0" collapsed="false">
      <c r="A105" s="28" t="s">
        <v>1278</v>
      </c>
      <c r="B105" s="62" t="s">
        <v>2084</v>
      </c>
      <c r="C105" s="64" t="n">
        <f aca="false">SUM(E105:P105)</f>
        <v>19152</v>
      </c>
      <c r="E105" s="107" t="n">
        <v>2128</v>
      </c>
      <c r="F105" s="107" t="n">
        <v>2128</v>
      </c>
      <c r="G105" s="107" t="n">
        <v>2327.62</v>
      </c>
      <c r="H105" s="107" t="n">
        <v>2327.62</v>
      </c>
      <c r="I105" s="107" t="n">
        <v>2560.19</v>
      </c>
      <c r="J105" s="107" t="n">
        <v>2560.19</v>
      </c>
      <c r="K105" s="107" t="n">
        <v>2560.19</v>
      </c>
      <c r="L105" s="107" t="n">
        <v>2560.19</v>
      </c>
    </row>
    <row r="106" customFormat="false" ht="15" hidden="false" customHeight="false" outlineLevel="0" collapsed="false">
      <c r="A106" s="28" t="s">
        <v>2095</v>
      </c>
      <c r="B106" s="62" t="s">
        <v>2084</v>
      </c>
      <c r="C106" s="64" t="n">
        <f aca="false">SUM(E106:P106)</f>
        <v>27738.72</v>
      </c>
      <c r="E106" s="107" t="n">
        <v>3082.08</v>
      </c>
      <c r="F106" s="107" t="n">
        <v>3082.08</v>
      </c>
      <c r="G106" s="107" t="n">
        <v>3366.12</v>
      </c>
      <c r="H106" s="107" t="n">
        <v>3366.12</v>
      </c>
      <c r="I106" s="107" t="n">
        <v>3710.58</v>
      </c>
      <c r="J106" s="107" t="n">
        <v>3710.58</v>
      </c>
      <c r="K106" s="107" t="n">
        <v>3710.58</v>
      </c>
      <c r="L106" s="107" t="n">
        <v>3710.58</v>
      </c>
    </row>
    <row r="107" customFormat="false" ht="15" hidden="false" customHeight="false" outlineLevel="0" collapsed="false">
      <c r="A107" s="28" t="s">
        <v>2096</v>
      </c>
      <c r="B107" s="62" t="s">
        <v>2084</v>
      </c>
      <c r="C107" s="64" t="n">
        <f aca="false">SUM(E107:P107)</f>
        <v>290153.68</v>
      </c>
      <c r="E107" s="107" t="n">
        <v>32322.84</v>
      </c>
      <c r="F107" s="107" t="n">
        <v>32235.9</v>
      </c>
      <c r="G107" s="107" t="n">
        <v>35329.91</v>
      </c>
      <c r="H107" s="107" t="n">
        <v>35429.3</v>
      </c>
      <c r="I107" s="107" t="n">
        <v>38781.51</v>
      </c>
      <c r="J107" s="107" t="n">
        <v>38652.51</v>
      </c>
      <c r="K107" s="107" t="n">
        <v>38711.42</v>
      </c>
      <c r="L107" s="107" t="n">
        <v>38690.29</v>
      </c>
    </row>
    <row r="108" customFormat="false" ht="15" hidden="false" customHeight="false" outlineLevel="0" collapsed="false">
      <c r="A108" s="28" t="s">
        <v>1282</v>
      </c>
      <c r="B108" s="62" t="s">
        <v>2084</v>
      </c>
      <c r="C108" s="64" t="n">
        <f aca="false">SUM(E108:P108)</f>
        <v>662954.94</v>
      </c>
      <c r="E108" s="107" t="n">
        <v>75446.95</v>
      </c>
      <c r="F108" s="107" t="n">
        <v>81502.72</v>
      </c>
      <c r="G108" s="107" t="n">
        <v>81398.84</v>
      </c>
      <c r="H108" s="107" t="n">
        <v>86372.25</v>
      </c>
      <c r="I108" s="107" t="n">
        <v>86271.42</v>
      </c>
      <c r="J108" s="107" t="n">
        <v>86334.25</v>
      </c>
      <c r="K108" s="107" t="n">
        <v>82709.59</v>
      </c>
      <c r="L108" s="107" t="n">
        <v>82918.92</v>
      </c>
    </row>
    <row r="109" customFormat="false" ht="15" hidden="false" customHeight="false" outlineLevel="0" collapsed="false">
      <c r="A109" s="28" t="s">
        <v>2097</v>
      </c>
      <c r="B109" s="62" t="s">
        <v>2084</v>
      </c>
      <c r="C109" s="64" t="n">
        <f aca="false">SUM(E109:P109)</f>
        <v>234895.7</v>
      </c>
      <c r="E109" s="107" t="n">
        <v>26631.89</v>
      </c>
      <c r="F109" s="107" t="n">
        <v>28865.77</v>
      </c>
      <c r="G109" s="107" t="n">
        <v>28843.65</v>
      </c>
      <c r="H109" s="107" t="n">
        <v>30672.06</v>
      </c>
      <c r="I109" s="107" t="n">
        <v>30602.95</v>
      </c>
      <c r="J109" s="107" t="n">
        <v>30487.31</v>
      </c>
      <c r="K109" s="107" t="n">
        <v>29428.75</v>
      </c>
      <c r="L109" s="107" t="n">
        <v>29363.32</v>
      </c>
    </row>
    <row r="110" customFormat="false" ht="15" hidden="false" customHeight="false" outlineLevel="0" collapsed="false">
      <c r="A110" s="28" t="s">
        <v>2098</v>
      </c>
      <c r="B110" s="62" t="s">
        <v>2084</v>
      </c>
      <c r="C110" s="64" t="n">
        <f aca="false">SUM(E110:P110)</f>
        <v>11657.63</v>
      </c>
      <c r="E110" s="107" t="n">
        <v>1411.44</v>
      </c>
      <c r="F110" s="107" t="n">
        <v>1411.44</v>
      </c>
      <c r="G110" s="107" t="n">
        <v>1411.44</v>
      </c>
      <c r="H110" s="107" t="n">
        <v>1523.88</v>
      </c>
      <c r="I110" s="107" t="n">
        <v>1523.88</v>
      </c>
      <c r="J110" s="107" t="n">
        <v>1631.61</v>
      </c>
      <c r="K110" s="107" t="n">
        <v>1371.97</v>
      </c>
      <c r="L110" s="107" t="n">
        <v>1371.97</v>
      </c>
    </row>
    <row r="111" customFormat="false" ht="15" hidden="false" customHeight="false" outlineLevel="0" collapsed="false">
      <c r="A111" s="28" t="s">
        <v>1285</v>
      </c>
      <c r="B111" s="62" t="s">
        <v>2084</v>
      </c>
      <c r="C111" s="64" t="n">
        <f aca="false">SUM(E111:P111)</f>
        <v>57882.5</v>
      </c>
      <c r="E111" s="107" t="n">
        <v>6538.52</v>
      </c>
      <c r="F111" s="107" t="n">
        <v>7124.55</v>
      </c>
      <c r="G111" s="107" t="n">
        <v>7120.81</v>
      </c>
      <c r="H111" s="107" t="n">
        <v>7495.61</v>
      </c>
      <c r="I111" s="107" t="n">
        <v>7494.91</v>
      </c>
      <c r="J111" s="107" t="n">
        <v>7525.81</v>
      </c>
      <c r="K111" s="107" t="n">
        <v>7298.54</v>
      </c>
      <c r="L111" s="107" t="n">
        <v>7283.75</v>
      </c>
    </row>
    <row r="112" customFormat="false" ht="15" hidden="false" customHeight="false" outlineLevel="0" collapsed="false">
      <c r="A112" s="28" t="s">
        <v>2099</v>
      </c>
      <c r="B112" s="62" t="s">
        <v>2084</v>
      </c>
      <c r="C112" s="64" t="n">
        <f aca="false">SUM(E112:P112)</f>
        <v>13420</v>
      </c>
      <c r="E112" s="107" t="n">
        <v>1540</v>
      </c>
      <c r="F112" s="107" t="n">
        <v>1650</v>
      </c>
      <c r="G112" s="107" t="n">
        <v>1650</v>
      </c>
      <c r="H112" s="107" t="n">
        <v>1760</v>
      </c>
      <c r="I112" s="107" t="n">
        <v>1760</v>
      </c>
      <c r="J112" s="107" t="n">
        <v>1760</v>
      </c>
      <c r="K112" s="107" t="n">
        <v>1650</v>
      </c>
      <c r="L112" s="107" t="n">
        <v>1650</v>
      </c>
    </row>
    <row r="113" customFormat="false" ht="15" hidden="false" customHeight="false" outlineLevel="0" collapsed="false">
      <c r="A113" s="28" t="s">
        <v>2100</v>
      </c>
      <c r="B113" s="62" t="s">
        <v>2084</v>
      </c>
      <c r="C113" s="64" t="n">
        <f aca="false">SUM(E113:P113)</f>
        <v>98177.87</v>
      </c>
      <c r="E113" s="107" t="n">
        <v>11147.69</v>
      </c>
      <c r="F113" s="107" t="n">
        <v>12052.95</v>
      </c>
      <c r="G113" s="107" t="n">
        <v>12052.95</v>
      </c>
      <c r="H113" s="107" t="n">
        <v>12809.26</v>
      </c>
      <c r="I113" s="107" t="n">
        <v>12809.26</v>
      </c>
      <c r="J113" s="107" t="n">
        <v>12809.26</v>
      </c>
      <c r="K113" s="107" t="n">
        <v>12248.25</v>
      </c>
      <c r="L113" s="107" t="n">
        <v>12248.25</v>
      </c>
    </row>
    <row r="114" customFormat="false" ht="15" hidden="false" customHeight="false" outlineLevel="0" collapsed="false">
      <c r="A114" s="28" t="s">
        <v>1288</v>
      </c>
      <c r="B114" s="62" t="s">
        <v>2084</v>
      </c>
      <c r="C114" s="64" t="n">
        <f aca="false">SUM(E114:P114)</f>
        <v>38634.32</v>
      </c>
      <c r="E114" s="107" t="n">
        <v>4359.42</v>
      </c>
      <c r="F114" s="107" t="n">
        <v>4756.72</v>
      </c>
      <c r="G114" s="107" t="n">
        <v>4756.72</v>
      </c>
      <c r="H114" s="107" t="n">
        <v>5005.76</v>
      </c>
      <c r="I114" s="107" t="n">
        <v>5005.76</v>
      </c>
      <c r="J114" s="107" t="n">
        <v>5005.76</v>
      </c>
      <c r="K114" s="107" t="n">
        <v>4872.09</v>
      </c>
      <c r="L114" s="107" t="n">
        <v>4872.09</v>
      </c>
    </row>
    <row r="115" customFormat="false" ht="15" hidden="false" customHeight="false" outlineLevel="0" collapsed="false">
      <c r="A115" s="28" t="s">
        <v>2101</v>
      </c>
      <c r="B115" s="62" t="s">
        <v>2084</v>
      </c>
      <c r="C115" s="64" t="n">
        <f aca="false">SUM(E115:P115)</f>
        <v>60402.44</v>
      </c>
      <c r="E115" s="107" t="n">
        <v>6821.06</v>
      </c>
      <c r="F115" s="107" t="n">
        <v>7446.41</v>
      </c>
      <c r="G115" s="107" t="n">
        <v>7446.41</v>
      </c>
      <c r="H115" s="107" t="n">
        <v>7803.32</v>
      </c>
      <c r="I115" s="107" t="n">
        <v>7803.32</v>
      </c>
      <c r="J115" s="107" t="n">
        <v>7803.32</v>
      </c>
      <c r="K115" s="107" t="n">
        <v>7639.3</v>
      </c>
      <c r="L115" s="107" t="n">
        <v>7639.3</v>
      </c>
    </row>
    <row r="116" customFormat="false" ht="15" hidden="false" customHeight="false" outlineLevel="0" collapsed="false">
      <c r="A116" s="28" t="s">
        <v>2102</v>
      </c>
      <c r="B116" s="62" t="s">
        <v>2084</v>
      </c>
      <c r="C116" s="64" t="n">
        <f aca="false">SUM(E116:P116)</f>
        <v>465740.31</v>
      </c>
      <c r="E116" s="107" t="n">
        <v>53118.78</v>
      </c>
      <c r="F116" s="107" t="n">
        <v>57246.64</v>
      </c>
      <c r="G116" s="107" t="n">
        <v>57142.76</v>
      </c>
      <c r="H116" s="107" t="n">
        <v>60753.91</v>
      </c>
      <c r="I116" s="107" t="n">
        <v>60653.08</v>
      </c>
      <c r="J116" s="107" t="n">
        <v>60715.91</v>
      </c>
      <c r="K116" s="107" t="n">
        <v>57949.95</v>
      </c>
      <c r="L116" s="107" t="n">
        <v>58159.28</v>
      </c>
    </row>
    <row r="117" customFormat="false" ht="15" hidden="false" customHeight="false" outlineLevel="0" collapsed="false">
      <c r="A117" s="28" t="s">
        <v>1292</v>
      </c>
      <c r="B117" s="62" t="s">
        <v>2084</v>
      </c>
      <c r="C117" s="64" t="n">
        <f aca="false">SUM(E117:P117)</f>
        <v>378252.44</v>
      </c>
      <c r="E117" s="107" t="n">
        <v>44038.84</v>
      </c>
      <c r="F117" s="107" t="n">
        <v>44160.07</v>
      </c>
      <c r="G117" s="107" t="n">
        <v>48481.69</v>
      </c>
      <c r="H117" s="107" t="n">
        <v>48284.21</v>
      </c>
      <c r="I117" s="107" t="n">
        <v>48232.1</v>
      </c>
      <c r="J117" s="107" t="n">
        <v>48300.51</v>
      </c>
      <c r="K117" s="107" t="n">
        <v>48343.52</v>
      </c>
      <c r="L117" s="107" t="n">
        <v>48411.5</v>
      </c>
    </row>
    <row r="118" customFormat="false" ht="15" hidden="false" customHeight="false" outlineLevel="0" collapsed="false">
      <c r="A118" s="28" t="s">
        <v>2103</v>
      </c>
      <c r="B118" s="62" t="s">
        <v>2084</v>
      </c>
      <c r="C118" s="64" t="n">
        <f aca="false">SUM(E118:P118)</f>
        <v>132039</v>
      </c>
      <c r="E118" s="107" t="n">
        <v>15411.81</v>
      </c>
      <c r="F118" s="107" t="n">
        <v>15436.28</v>
      </c>
      <c r="G118" s="107" t="n">
        <v>16921.53</v>
      </c>
      <c r="H118" s="107" t="n">
        <v>16868.15</v>
      </c>
      <c r="I118" s="107" t="n">
        <v>16906.94</v>
      </c>
      <c r="J118" s="107" t="n">
        <v>16873.59</v>
      </c>
      <c r="K118" s="107" t="n">
        <v>16802.42</v>
      </c>
      <c r="L118" s="107" t="n">
        <v>16818.28</v>
      </c>
    </row>
    <row r="119" customFormat="false" ht="15" hidden="false" customHeight="false" outlineLevel="0" collapsed="false">
      <c r="A119" s="28" t="s">
        <v>2104</v>
      </c>
      <c r="B119" s="62" t="s">
        <v>2084</v>
      </c>
      <c r="C119" s="64" t="n">
        <f aca="false">SUM(E119:P119)</f>
        <v>6883.34</v>
      </c>
      <c r="E119" s="107" t="n">
        <v>725.92</v>
      </c>
      <c r="F119" s="107" t="n">
        <v>725.92</v>
      </c>
      <c r="G119" s="107" t="n">
        <v>871.11</v>
      </c>
      <c r="H119" s="107" t="n">
        <v>871.11</v>
      </c>
      <c r="I119" s="107" t="n">
        <v>871.11</v>
      </c>
      <c r="J119" s="107" t="n">
        <v>939.39</v>
      </c>
      <c r="K119" s="107" t="n">
        <v>939.39</v>
      </c>
      <c r="L119" s="107" t="n">
        <v>939.39</v>
      </c>
    </row>
    <row r="120" customFormat="false" ht="15" hidden="false" customHeight="false" outlineLevel="0" collapsed="false">
      <c r="A120" s="28" t="s">
        <v>1295</v>
      </c>
      <c r="B120" s="62" t="s">
        <v>2084</v>
      </c>
      <c r="C120" s="64" t="n">
        <f aca="false">SUM(E120:P120)</f>
        <v>34841.69</v>
      </c>
      <c r="E120" s="107" t="n">
        <v>4145.81</v>
      </c>
      <c r="F120" s="107" t="n">
        <v>4147.51</v>
      </c>
      <c r="G120" s="107" t="n">
        <v>4421.57</v>
      </c>
      <c r="H120" s="107" t="n">
        <v>4418.95</v>
      </c>
      <c r="I120" s="107" t="n">
        <v>4423.95</v>
      </c>
      <c r="J120" s="107" t="n">
        <v>4425.14</v>
      </c>
      <c r="K120" s="107" t="n">
        <v>4425.64</v>
      </c>
      <c r="L120" s="107" t="n">
        <v>4433.12</v>
      </c>
    </row>
    <row r="121" customFormat="false" ht="15" hidden="false" customHeight="false" outlineLevel="0" collapsed="false">
      <c r="A121" s="28" t="s">
        <v>2105</v>
      </c>
      <c r="B121" s="62" t="s">
        <v>2084</v>
      </c>
      <c r="C121" s="64" t="n">
        <f aca="false">SUM(E121:P121)</f>
        <v>6820</v>
      </c>
      <c r="E121" s="107" t="n">
        <v>770</v>
      </c>
      <c r="F121" s="107" t="n">
        <v>770</v>
      </c>
      <c r="G121" s="107" t="n">
        <v>880</v>
      </c>
      <c r="H121" s="107" t="n">
        <v>880</v>
      </c>
      <c r="I121" s="107" t="n">
        <v>880</v>
      </c>
      <c r="J121" s="107" t="n">
        <v>880</v>
      </c>
      <c r="K121" s="107" t="n">
        <v>880</v>
      </c>
      <c r="L121" s="107" t="n">
        <v>880</v>
      </c>
    </row>
    <row r="122" customFormat="false" ht="15" hidden="false" customHeight="false" outlineLevel="0" collapsed="false">
      <c r="A122" s="28" t="s">
        <v>2106</v>
      </c>
      <c r="B122" s="62" t="s">
        <v>2084</v>
      </c>
      <c r="C122" s="64" t="n">
        <f aca="false">SUM(E122:P122)</f>
        <v>54702.84</v>
      </c>
      <c r="E122" s="107" t="n">
        <v>6320.28</v>
      </c>
      <c r="F122" s="107" t="n">
        <v>6320.28</v>
      </c>
      <c r="G122" s="107" t="n">
        <v>7010.38</v>
      </c>
      <c r="H122" s="107" t="n">
        <v>7010.38</v>
      </c>
      <c r="I122" s="107" t="n">
        <v>7010.38</v>
      </c>
      <c r="J122" s="107" t="n">
        <v>7010.38</v>
      </c>
      <c r="K122" s="107" t="n">
        <v>7010.38</v>
      </c>
      <c r="L122" s="107" t="n">
        <v>7010.38</v>
      </c>
    </row>
    <row r="123" customFormat="false" ht="15" hidden="false" customHeight="false" outlineLevel="0" collapsed="false">
      <c r="A123" s="28" t="s">
        <v>1298</v>
      </c>
      <c r="B123" s="62" t="s">
        <v>2084</v>
      </c>
      <c r="C123" s="64" t="n">
        <f aca="false">SUM(E123:P123)</f>
        <v>23215.94</v>
      </c>
      <c r="E123" s="107" t="n">
        <v>2764.63</v>
      </c>
      <c r="F123" s="107" t="n">
        <v>2764.63</v>
      </c>
      <c r="G123" s="107" t="n">
        <v>2947.78</v>
      </c>
      <c r="H123" s="107" t="n">
        <v>2947.78</v>
      </c>
      <c r="I123" s="107" t="n">
        <v>2947.78</v>
      </c>
      <c r="J123" s="107" t="n">
        <v>2947.78</v>
      </c>
      <c r="K123" s="107" t="n">
        <v>2947.78</v>
      </c>
      <c r="L123" s="107" t="n">
        <v>2947.78</v>
      </c>
    </row>
    <row r="124" customFormat="false" ht="15" hidden="false" customHeight="false" outlineLevel="0" collapsed="false">
      <c r="A124" s="28" t="s">
        <v>2107</v>
      </c>
      <c r="B124" s="62" t="s">
        <v>2084</v>
      </c>
      <c r="C124" s="64" t="n">
        <f aca="false">SUM(E124:P124)</f>
        <v>43403.9</v>
      </c>
      <c r="E124" s="107" t="n">
        <v>5220.76</v>
      </c>
      <c r="F124" s="107" t="n">
        <v>5220.76</v>
      </c>
      <c r="G124" s="107" t="n">
        <v>5493.73</v>
      </c>
      <c r="H124" s="107" t="n">
        <v>5493.73</v>
      </c>
      <c r="I124" s="107" t="n">
        <v>5493.73</v>
      </c>
      <c r="J124" s="107" t="n">
        <v>5493.73</v>
      </c>
      <c r="K124" s="107" t="n">
        <v>5493.73</v>
      </c>
      <c r="L124" s="107" t="n">
        <v>5493.73</v>
      </c>
    </row>
    <row r="125" customFormat="false" ht="15" hidden="false" customHeight="false" outlineLevel="0" collapsed="false">
      <c r="A125" s="28" t="s">
        <v>2108</v>
      </c>
      <c r="B125" s="62" t="s">
        <v>2084</v>
      </c>
      <c r="C125" s="64" t="n">
        <f aca="false">SUM(E125:P125)</f>
        <v>256929.76</v>
      </c>
      <c r="E125" s="107" t="n">
        <v>29733.17</v>
      </c>
      <c r="F125" s="107" t="n">
        <v>29854.4</v>
      </c>
      <c r="G125" s="107" t="n">
        <v>33029.8</v>
      </c>
      <c r="H125" s="107" t="n">
        <v>32832.32</v>
      </c>
      <c r="I125" s="107" t="n">
        <v>32780.21</v>
      </c>
      <c r="J125" s="107" t="n">
        <v>32848.62</v>
      </c>
      <c r="K125" s="107" t="n">
        <v>32891.63</v>
      </c>
      <c r="L125" s="107" t="n">
        <v>32959.61</v>
      </c>
    </row>
    <row r="126" customFormat="false" ht="15" hidden="false" customHeight="false" outlineLevel="0" collapsed="false">
      <c r="A126" s="22" t="s">
        <v>2109</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row>
    <row r="127" customFormat="false" ht="15" hidden="false" customHeight="false" outlineLevel="0" collapsed="false">
      <c r="A127" s="28" t="s">
        <v>2110</v>
      </c>
      <c r="B127" s="62" t="s">
        <v>2111</v>
      </c>
      <c r="C127" s="69" t="n">
        <f aca="false">P127</f>
        <v>0</v>
      </c>
      <c r="E127" s="126" t="n">
        <v>7</v>
      </c>
      <c r="F127" s="126" t="n">
        <v>8</v>
      </c>
      <c r="G127" s="126" t="n">
        <v>8</v>
      </c>
      <c r="H127" s="126" t="n">
        <v>8</v>
      </c>
      <c r="I127" s="126" t="n">
        <v>8</v>
      </c>
      <c r="J127" s="126" t="n">
        <v>8</v>
      </c>
      <c r="K127" s="126" t="n">
        <v>8</v>
      </c>
      <c r="L127" s="126" t="n">
        <v>8</v>
      </c>
    </row>
    <row r="128" customFormat="false" ht="15" hidden="false" customHeight="false" outlineLevel="0" collapsed="false">
      <c r="A128" s="28" t="s">
        <v>2112</v>
      </c>
      <c r="B128" s="62" t="s">
        <v>2111</v>
      </c>
      <c r="C128" s="69" t="n">
        <f aca="false">P128</f>
        <v>0</v>
      </c>
      <c r="E128" s="126" t="n">
        <v>11</v>
      </c>
      <c r="F128" s="126" t="n">
        <v>11</v>
      </c>
      <c r="G128" s="126" t="n">
        <v>11</v>
      </c>
      <c r="H128" s="126" t="n">
        <v>12</v>
      </c>
      <c r="I128" s="126" t="n">
        <v>12</v>
      </c>
      <c r="J128" s="126" t="n">
        <v>12</v>
      </c>
      <c r="K128" s="126" t="n">
        <v>12</v>
      </c>
      <c r="L128" s="126" t="n">
        <v>11</v>
      </c>
    </row>
    <row r="129" customFormat="false" ht="15" hidden="false" customHeight="false" outlineLevel="0" collapsed="false">
      <c r="A129" s="28" t="s">
        <v>2113</v>
      </c>
      <c r="B129" s="62" t="s">
        <v>2111</v>
      </c>
      <c r="C129" s="69" t="n">
        <f aca="false">P129</f>
        <v>0</v>
      </c>
      <c r="E129" s="126" t="n">
        <v>13</v>
      </c>
      <c r="F129" s="126" t="n">
        <v>13</v>
      </c>
      <c r="G129" s="126" t="n">
        <v>14</v>
      </c>
      <c r="H129" s="126" t="n">
        <v>14</v>
      </c>
      <c r="I129" s="126" t="n">
        <v>13</v>
      </c>
      <c r="J129" s="126" t="n">
        <v>14</v>
      </c>
      <c r="K129" s="126" t="n">
        <v>14</v>
      </c>
      <c r="L129" s="126" t="n">
        <v>14</v>
      </c>
    </row>
    <row r="130" customFormat="false" ht="15" hidden="false" customHeight="false" outlineLevel="0" collapsed="false">
      <c r="A130" s="28" t="s">
        <v>2114</v>
      </c>
      <c r="B130" s="62" t="s">
        <v>2111</v>
      </c>
      <c r="C130" s="69" t="n">
        <f aca="false">P130</f>
        <v>0</v>
      </c>
      <c r="E130" s="126" t="n">
        <v>3</v>
      </c>
      <c r="F130" s="126" t="n">
        <v>3</v>
      </c>
      <c r="G130" s="126" t="n">
        <v>3</v>
      </c>
      <c r="H130" s="126" t="n">
        <v>3</v>
      </c>
      <c r="I130" s="126" t="n">
        <v>3</v>
      </c>
      <c r="J130" s="126" t="n">
        <v>3</v>
      </c>
      <c r="K130" s="126" t="n">
        <v>3</v>
      </c>
      <c r="L130" s="126" t="n">
        <v>3</v>
      </c>
    </row>
    <row r="131" customFormat="false" ht="15" hidden="false" customHeight="false" outlineLevel="0" collapsed="false">
      <c r="A131" s="28" t="s">
        <v>2115</v>
      </c>
      <c r="B131" s="62" t="s">
        <v>2111</v>
      </c>
      <c r="C131" s="69" t="n">
        <f aca="false">P131</f>
        <v>0</v>
      </c>
      <c r="E131" s="126" t="n">
        <v>6</v>
      </c>
      <c r="F131" s="126" t="n">
        <v>6</v>
      </c>
      <c r="G131" s="126" t="n">
        <v>6</v>
      </c>
      <c r="H131" s="126" t="n">
        <v>6</v>
      </c>
      <c r="I131" s="126" t="n">
        <v>6</v>
      </c>
      <c r="J131" s="126" t="n">
        <v>6</v>
      </c>
      <c r="K131" s="126" t="n">
        <v>6</v>
      </c>
      <c r="L131" s="126" t="n">
        <v>6</v>
      </c>
    </row>
    <row r="132" customFormat="false" ht="15" hidden="false" customHeight="false" outlineLevel="0" collapsed="false">
      <c r="A132" s="28" t="s">
        <v>2116</v>
      </c>
      <c r="B132" s="62" t="s">
        <v>2111</v>
      </c>
      <c r="C132" s="69" t="n">
        <f aca="false">P132</f>
        <v>0</v>
      </c>
      <c r="E132" s="126" t="n">
        <v>6</v>
      </c>
      <c r="F132" s="126" t="n">
        <v>6</v>
      </c>
      <c r="G132" s="126" t="n">
        <v>7</v>
      </c>
      <c r="H132" s="126" t="n">
        <v>7</v>
      </c>
      <c r="I132" s="126" t="n">
        <v>7</v>
      </c>
      <c r="J132" s="126" t="n">
        <v>7</v>
      </c>
      <c r="K132" s="126" t="n">
        <v>7</v>
      </c>
      <c r="L132" s="126" t="n">
        <v>7</v>
      </c>
    </row>
    <row r="133" customFormat="false" ht="15" hidden="false" customHeight="false" outlineLevel="0" collapsed="false">
      <c r="A133" s="28" t="s">
        <v>2117</v>
      </c>
      <c r="B133" s="62" t="s">
        <v>2111</v>
      </c>
      <c r="C133" s="69" t="n">
        <f aca="false">P133</f>
        <v>0</v>
      </c>
      <c r="E133" s="126" t="n">
        <v>4</v>
      </c>
      <c r="F133" s="126" t="n">
        <v>4</v>
      </c>
      <c r="G133" s="126" t="n">
        <v>4</v>
      </c>
      <c r="H133" s="126" t="n">
        <v>4</v>
      </c>
      <c r="I133" s="126" t="n">
        <v>5</v>
      </c>
      <c r="J133" s="126" t="n">
        <v>5</v>
      </c>
      <c r="K133" s="126" t="n">
        <v>5</v>
      </c>
      <c r="L133" s="126" t="n">
        <v>5</v>
      </c>
    </row>
    <row r="134" customFormat="false" ht="15" hidden="false" customHeight="false" outlineLevel="0" collapsed="false">
      <c r="A134" s="28" t="s">
        <v>2118</v>
      </c>
      <c r="B134" s="62" t="s">
        <v>2111</v>
      </c>
      <c r="C134" s="69" t="n">
        <f aca="false">P134</f>
        <v>0</v>
      </c>
      <c r="E134" s="126" t="n">
        <v>1</v>
      </c>
      <c r="F134" s="126" t="n">
        <v>1</v>
      </c>
      <c r="G134" s="126" t="n">
        <v>1</v>
      </c>
      <c r="H134" s="126" t="n">
        <v>1</v>
      </c>
      <c r="I134" s="126" t="n">
        <v>1</v>
      </c>
      <c r="J134" s="126" t="n">
        <v>1</v>
      </c>
      <c r="K134" s="126" t="n">
        <v>1</v>
      </c>
      <c r="L134" s="126" t="n">
        <v>1</v>
      </c>
    </row>
    <row r="135" customFormat="false" ht="15" hidden="false" customHeight="false" outlineLevel="0" collapsed="false">
      <c r="A135" s="28" t="s">
        <v>2119</v>
      </c>
      <c r="B135" s="62" t="s">
        <v>2111</v>
      </c>
      <c r="C135" s="69" t="n">
        <f aca="false">P135</f>
        <v>0</v>
      </c>
      <c r="E135" s="126" t="n">
        <v>5</v>
      </c>
      <c r="F135" s="126" t="n">
        <v>6</v>
      </c>
      <c r="G135" s="126" t="n">
        <v>6</v>
      </c>
      <c r="H135" s="126" t="n">
        <v>6</v>
      </c>
      <c r="I135" s="126" t="n">
        <v>6</v>
      </c>
      <c r="J135" s="126" t="n">
        <v>6</v>
      </c>
      <c r="K135" s="126" t="n">
        <v>6</v>
      </c>
      <c r="L135" s="126" t="n">
        <v>6</v>
      </c>
    </row>
    <row r="136" customFormat="false" ht="15" hidden="false" customHeight="false" outlineLevel="0" collapsed="false">
      <c r="A136" s="28" t="s">
        <v>2120</v>
      </c>
      <c r="B136" s="62" t="s">
        <v>2111</v>
      </c>
      <c r="C136" s="69" t="n">
        <f aca="false">P136</f>
        <v>0</v>
      </c>
      <c r="E136" s="126" t="n">
        <v>4</v>
      </c>
      <c r="F136" s="126" t="n">
        <v>4</v>
      </c>
      <c r="G136" s="126" t="n">
        <v>4</v>
      </c>
      <c r="H136" s="126" t="n">
        <v>4</v>
      </c>
      <c r="I136" s="126" t="n">
        <v>4</v>
      </c>
      <c r="J136" s="126" t="n">
        <v>4</v>
      </c>
      <c r="K136" s="126" t="n">
        <v>3</v>
      </c>
      <c r="L136" s="126" t="n">
        <v>3</v>
      </c>
    </row>
    <row r="137" customFormat="false" ht="15" hidden="false" customHeight="false" outlineLevel="0" collapsed="false">
      <c r="A137" s="28" t="s">
        <v>2121</v>
      </c>
      <c r="B137" s="62" t="s">
        <v>2111</v>
      </c>
      <c r="C137" s="69" t="n">
        <f aca="false">P137</f>
        <v>0</v>
      </c>
      <c r="E137" s="126" t="n">
        <v>4</v>
      </c>
      <c r="F137" s="126" t="n">
        <v>4</v>
      </c>
      <c r="G137" s="126" t="n">
        <v>4</v>
      </c>
      <c r="H137" s="126" t="n">
        <v>5</v>
      </c>
      <c r="I137" s="126" t="n">
        <v>5</v>
      </c>
      <c r="J137" s="126" t="n">
        <v>5</v>
      </c>
      <c r="K137" s="126" t="n">
        <v>5</v>
      </c>
      <c r="L137" s="126" t="n">
        <v>5</v>
      </c>
    </row>
    <row r="138" customFormat="false" ht="15" hidden="false" customHeight="false" outlineLevel="0" collapsed="false">
      <c r="A138" s="28" t="s">
        <v>2122</v>
      </c>
      <c r="B138" s="62" t="s">
        <v>2111</v>
      </c>
      <c r="C138" s="69" t="n">
        <f aca="false">P138</f>
        <v>0</v>
      </c>
      <c r="E138" s="126" t="n">
        <v>2</v>
      </c>
      <c r="F138" s="126" t="n">
        <v>2</v>
      </c>
      <c r="G138" s="126" t="n">
        <v>2</v>
      </c>
      <c r="H138" s="126" t="n">
        <v>2</v>
      </c>
      <c r="I138" s="126" t="n">
        <v>2</v>
      </c>
      <c r="J138" s="126" t="n">
        <v>2</v>
      </c>
      <c r="K138" s="126" t="n">
        <v>2</v>
      </c>
      <c r="L138" s="126" t="n">
        <v>2</v>
      </c>
    </row>
    <row r="139" customFormat="false" ht="15" hidden="false" customHeight="false" outlineLevel="0" collapsed="false">
      <c r="A139" s="28" t="s">
        <v>2123</v>
      </c>
      <c r="B139" s="62" t="s">
        <v>2111</v>
      </c>
      <c r="C139" s="69" t="n">
        <f aca="false">P139</f>
        <v>0</v>
      </c>
      <c r="E139" s="126" t="n">
        <v>5</v>
      </c>
      <c r="F139" s="126" t="n">
        <v>5</v>
      </c>
      <c r="G139" s="126" t="n">
        <v>6</v>
      </c>
      <c r="H139" s="126" t="n">
        <v>6</v>
      </c>
      <c r="I139" s="126" t="n">
        <v>6</v>
      </c>
      <c r="J139" s="126" t="n">
        <v>6</v>
      </c>
      <c r="K139" s="126" t="n">
        <v>6</v>
      </c>
      <c r="L139" s="126" t="n">
        <v>6</v>
      </c>
    </row>
    <row r="140" customFormat="false" ht="15" hidden="false" customHeight="false" outlineLevel="0" collapsed="false">
      <c r="A140" s="28" t="s">
        <v>2124</v>
      </c>
      <c r="B140" s="62" t="s">
        <v>2125</v>
      </c>
      <c r="C140" s="67" t="n">
        <f aca="false">SUM(E140:P140)</f>
        <v>1605.3</v>
      </c>
      <c r="E140" s="137" t="n">
        <v>70.3</v>
      </c>
      <c r="F140" s="137" t="n">
        <v>147.8</v>
      </c>
      <c r="G140" s="137" t="n">
        <v>70.6</v>
      </c>
      <c r="H140" s="137" t="n">
        <v>163.4</v>
      </c>
      <c r="I140" s="137" t="n">
        <v>178</v>
      </c>
      <c r="J140" s="137" t="n">
        <v>107.6</v>
      </c>
      <c r="K140" s="137" t="n">
        <v>292.7</v>
      </c>
      <c r="L140" s="137" t="n">
        <v>574.9</v>
      </c>
    </row>
    <row r="141" customFormat="false" ht="15" hidden="false" customHeight="false" outlineLevel="0" collapsed="false">
      <c r="A141" s="28" t="s">
        <v>2126</v>
      </c>
      <c r="B141" s="62" t="s">
        <v>2127</v>
      </c>
      <c r="C141" s="64" t="n">
        <f aca="false">SUM(E141:P141)</f>
        <v>141000</v>
      </c>
      <c r="E141" s="107" t="n">
        <v>0</v>
      </c>
      <c r="F141" s="107" t="n">
        <v>30600</v>
      </c>
      <c r="G141" s="107" t="n">
        <v>0</v>
      </c>
      <c r="H141" s="107" t="n">
        <v>37200</v>
      </c>
      <c r="I141" s="107" t="n">
        <v>0</v>
      </c>
      <c r="J141" s="107" t="n">
        <v>30600</v>
      </c>
      <c r="K141" s="107" t="n">
        <v>33600</v>
      </c>
      <c r="L141" s="107" t="n">
        <v>9000</v>
      </c>
    </row>
    <row r="142" customFormat="false" ht="15" hidden="false" customHeight="false" outlineLevel="0" collapsed="false">
      <c r="A142" s="28" t="s">
        <v>2128</v>
      </c>
      <c r="B142" s="62" t="s">
        <v>2129</v>
      </c>
      <c r="C142" s="64" t="n">
        <f aca="false">SUM(E142:P142)</f>
        <v>1805641.28</v>
      </c>
      <c r="E142" s="107" t="n">
        <v>212406.21</v>
      </c>
      <c r="F142" s="107" t="n">
        <v>221708.31</v>
      </c>
      <c r="G142" s="107" t="n">
        <v>224001.73</v>
      </c>
      <c r="H142" s="107" t="n">
        <v>232473.68</v>
      </c>
      <c r="I142" s="107" t="n">
        <v>229318.72</v>
      </c>
      <c r="J142" s="107" t="n">
        <v>229884.02</v>
      </c>
      <c r="K142" s="107" t="n">
        <v>230813.22</v>
      </c>
      <c r="L142" s="107" t="n">
        <v>225035.39</v>
      </c>
    </row>
    <row r="143" customFormat="false" ht="15" hidden="false" customHeight="false" outlineLevel="0" collapsed="false">
      <c r="A143" s="22" t="s">
        <v>2130</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row>
    <row r="144" customFormat="false" ht="15" hidden="false" customHeight="false" outlineLevel="0" collapsed="false">
      <c r="A144" s="28" t="s">
        <v>427</v>
      </c>
      <c r="B144" s="62" t="s">
        <v>2056</v>
      </c>
      <c r="C144" s="64" t="n">
        <f aca="false">SUM(E144:P144)</f>
        <v>147029.89</v>
      </c>
      <c r="E144" s="107" t="n">
        <v>17964.17</v>
      </c>
      <c r="F144" s="107" t="n">
        <v>17385.59</v>
      </c>
      <c r="G144" s="107" t="n">
        <v>18123.85</v>
      </c>
      <c r="H144" s="107" t="n">
        <v>19869.56</v>
      </c>
      <c r="I144" s="107" t="n">
        <v>17944.87</v>
      </c>
      <c r="J144" s="107" t="n">
        <v>18293.52</v>
      </c>
      <c r="K144" s="107" t="n">
        <v>18498.38</v>
      </c>
      <c r="L144" s="107" t="n">
        <v>18949.95</v>
      </c>
    </row>
    <row r="145" customFormat="false" ht="15" hidden="false" customHeight="false" outlineLevel="0" collapsed="false">
      <c r="A145" s="28" t="s">
        <v>424</v>
      </c>
      <c r="B145" s="62" t="s">
        <v>2056</v>
      </c>
      <c r="C145" s="64" t="n">
        <f aca="false">SUM(E145:P145)</f>
        <v>308250.13</v>
      </c>
      <c r="E145" s="107" t="n">
        <v>40122.19</v>
      </c>
      <c r="F145" s="107" t="n">
        <v>38266.5</v>
      </c>
      <c r="G145" s="107" t="n">
        <v>44158.36</v>
      </c>
      <c r="H145" s="107" t="n">
        <v>39060.9</v>
      </c>
      <c r="I145" s="107" t="n">
        <v>36977.95</v>
      </c>
      <c r="J145" s="107" t="n">
        <v>39565.64</v>
      </c>
      <c r="K145" s="107" t="n">
        <v>38526.92</v>
      </c>
      <c r="L145" s="107" t="n">
        <v>31571.67</v>
      </c>
    </row>
    <row r="146" customFormat="false" ht="15" hidden="false" customHeight="false" outlineLevel="0" collapsed="false">
      <c r="A146" s="28" t="s">
        <v>425</v>
      </c>
      <c r="B146" s="62" t="s">
        <v>2056</v>
      </c>
      <c r="C146" s="64" t="n">
        <f aca="false">SUM(E146:P146)</f>
        <v>132088.2</v>
      </c>
      <c r="E146" s="107" t="n">
        <v>14295.59</v>
      </c>
      <c r="F146" s="107" t="n">
        <v>12160.67</v>
      </c>
      <c r="G146" s="107" t="n">
        <v>12759.39</v>
      </c>
      <c r="H146" s="107" t="n">
        <v>12697.28</v>
      </c>
      <c r="I146" s="107" t="n">
        <v>14181.74</v>
      </c>
      <c r="J146" s="107" t="n">
        <v>38077.73</v>
      </c>
      <c r="K146" s="107" t="n">
        <v>14789.14</v>
      </c>
      <c r="L146" s="107" t="n">
        <v>13126.66</v>
      </c>
    </row>
    <row r="147" customFormat="false" ht="15" hidden="false" customHeight="false" outlineLevel="0" collapsed="false">
      <c r="A147" s="28" t="s">
        <v>1535</v>
      </c>
      <c r="B147" s="62" t="s">
        <v>2056</v>
      </c>
      <c r="C147" s="64" t="n">
        <f aca="false">SUM(E147:P147)</f>
        <v>272000</v>
      </c>
      <c r="E147" s="107" t="n">
        <v>34000</v>
      </c>
      <c r="F147" s="107" t="n">
        <v>34000</v>
      </c>
      <c r="G147" s="107" t="n">
        <v>34000</v>
      </c>
      <c r="H147" s="107" t="n">
        <v>34000</v>
      </c>
      <c r="I147" s="107" t="n">
        <v>34000</v>
      </c>
      <c r="J147" s="107" t="n">
        <v>34000</v>
      </c>
      <c r="K147" s="107" t="n">
        <v>34000</v>
      </c>
      <c r="L147" s="107" t="n">
        <v>34000</v>
      </c>
    </row>
    <row r="148" customFormat="false" ht="15" hidden="false" customHeight="false" outlineLevel="0" collapsed="false">
      <c r="A148" s="28" t="s">
        <v>429</v>
      </c>
      <c r="B148" s="62" t="s">
        <v>2056</v>
      </c>
      <c r="C148" s="64" t="n">
        <f aca="false">SUM(E148:P148)</f>
        <v>148765.78</v>
      </c>
      <c r="E148" s="107" t="n">
        <v>16317.2</v>
      </c>
      <c r="F148" s="107" t="n">
        <v>16190.39</v>
      </c>
      <c r="G148" s="107" t="n">
        <v>34446.7</v>
      </c>
      <c r="H148" s="107" t="n">
        <v>17409.94</v>
      </c>
      <c r="I148" s="107" t="n">
        <v>15872.42</v>
      </c>
      <c r="J148" s="107" t="n">
        <v>15162.98</v>
      </c>
      <c r="K148" s="107" t="n">
        <v>17487.83</v>
      </c>
      <c r="L148" s="107" t="n">
        <v>15878.32</v>
      </c>
    </row>
    <row r="149" customFormat="false" ht="15" hidden="false" customHeight="false" outlineLevel="0" collapsed="false">
      <c r="A149" s="28" t="s">
        <v>430</v>
      </c>
      <c r="B149" s="62" t="s">
        <v>2056</v>
      </c>
      <c r="C149" s="64" t="n">
        <f aca="false">SUM(E149:P149)</f>
        <v>36000</v>
      </c>
      <c r="E149" s="107" t="n">
        <v>4500</v>
      </c>
      <c r="F149" s="107" t="n">
        <v>4500</v>
      </c>
      <c r="G149" s="107" t="n">
        <v>4500</v>
      </c>
      <c r="H149" s="107" t="n">
        <v>4500</v>
      </c>
      <c r="I149" s="107" t="n">
        <v>4500</v>
      </c>
      <c r="J149" s="107" t="n">
        <v>4500</v>
      </c>
      <c r="K149" s="107" t="n">
        <v>4500</v>
      </c>
      <c r="L149" s="107" t="n">
        <v>4500</v>
      </c>
    </row>
    <row r="150" customFormat="false" ht="15" hidden="false" customHeight="false" outlineLevel="0" collapsed="false">
      <c r="A150" s="28" t="s">
        <v>431</v>
      </c>
      <c r="B150" s="62" t="s">
        <v>2056</v>
      </c>
      <c r="C150" s="64" t="n">
        <f aca="false">SUM(E150:P150)</f>
        <v>80507.55</v>
      </c>
      <c r="E150" s="107" t="n">
        <v>7675.8</v>
      </c>
      <c r="F150" s="107" t="n">
        <v>16033.25</v>
      </c>
      <c r="G150" s="107" t="n">
        <v>23048.39</v>
      </c>
      <c r="H150" s="107" t="n">
        <v>14790.36</v>
      </c>
      <c r="I150" s="107" t="n">
        <v>9257.09</v>
      </c>
      <c r="J150" s="107" t="n">
        <v>7702.66</v>
      </c>
      <c r="K150" s="107" t="n">
        <v>1000</v>
      </c>
      <c r="L150" s="107" t="n">
        <v>1000</v>
      </c>
    </row>
    <row r="151" customFormat="false" ht="15" hidden="false" customHeight="false" outlineLevel="0" collapsed="false">
      <c r="A151" s="28" t="s">
        <v>1537</v>
      </c>
      <c r="B151" s="62" t="s">
        <v>2056</v>
      </c>
      <c r="C151" s="64" t="n">
        <f aca="false">SUM(E151:P151)</f>
        <v>87584</v>
      </c>
      <c r="E151" s="107" t="n">
        <v>11939.7</v>
      </c>
      <c r="F151" s="107" t="n">
        <v>11991.62</v>
      </c>
      <c r="G151" s="107" t="n">
        <v>11894.58</v>
      </c>
      <c r="H151" s="107" t="n">
        <v>10435.89</v>
      </c>
      <c r="I151" s="107" t="n">
        <v>10844.45</v>
      </c>
      <c r="J151" s="107" t="n">
        <v>10029.29</v>
      </c>
      <c r="K151" s="107" t="n">
        <v>10860.83</v>
      </c>
      <c r="L151" s="107" t="n">
        <v>9587.64</v>
      </c>
    </row>
    <row r="152" customFormat="false" ht="15" hidden="false" customHeight="false" outlineLevel="0" collapsed="false">
      <c r="A152" s="28" t="s">
        <v>433</v>
      </c>
      <c r="B152" s="62" t="s">
        <v>2056</v>
      </c>
      <c r="C152" s="64" t="n">
        <f aca="false">SUM(E152:P152)</f>
        <v>11200</v>
      </c>
      <c r="E152" s="107" t="n">
        <v>1400</v>
      </c>
      <c r="F152" s="107" t="n">
        <v>1400</v>
      </c>
      <c r="G152" s="107" t="n">
        <v>1400</v>
      </c>
      <c r="H152" s="107" t="n">
        <v>1400</v>
      </c>
      <c r="I152" s="107" t="n">
        <v>1400</v>
      </c>
      <c r="J152" s="107" t="n">
        <v>1400</v>
      </c>
      <c r="K152" s="107" t="n">
        <v>1400</v>
      </c>
      <c r="L152" s="107" t="n">
        <v>1400</v>
      </c>
    </row>
    <row r="153" customFormat="false" ht="15" hidden="false" customHeight="false" outlineLevel="0" collapsed="false">
      <c r="A153" s="28" t="s">
        <v>1553</v>
      </c>
      <c r="B153" s="62" t="s">
        <v>2131</v>
      </c>
      <c r="C153" s="64" t="n">
        <f aca="false">SUM(E153:P153)</f>
        <v>43678.25</v>
      </c>
      <c r="E153" s="107" t="n">
        <v>5057.75</v>
      </c>
      <c r="F153" s="107" t="n">
        <v>7270.69</v>
      </c>
      <c r="G153" s="107" t="n">
        <v>9512.1</v>
      </c>
      <c r="H153" s="107" t="n">
        <v>7262.12</v>
      </c>
      <c r="I153" s="107" t="n">
        <v>4693.56</v>
      </c>
      <c r="J153" s="107" t="n">
        <v>5463.47</v>
      </c>
      <c r="K153" s="107" t="n">
        <v>2233.55</v>
      </c>
      <c r="L153" s="107" t="n">
        <v>2185.01</v>
      </c>
    </row>
    <row r="154" customFormat="false" ht="15" hidden="false" customHeight="false" outlineLevel="0" collapsed="false">
      <c r="A154" s="28" t="s">
        <v>414</v>
      </c>
      <c r="B154" s="62" t="s">
        <v>2132</v>
      </c>
      <c r="C154" s="64" t="n">
        <f aca="false">SUM(E154:P154)</f>
        <v>48912.86</v>
      </c>
      <c r="E154" s="107" t="n">
        <v>5639.98</v>
      </c>
      <c r="F154" s="107" t="n">
        <v>5763.05</v>
      </c>
      <c r="G154" s="107" t="n">
        <v>6071.85</v>
      </c>
      <c r="H154" s="107" t="n">
        <v>5962.55</v>
      </c>
      <c r="I154" s="107" t="n">
        <v>6279.26</v>
      </c>
      <c r="J154" s="107" t="n">
        <v>6407.25</v>
      </c>
      <c r="K154" s="107" t="n">
        <v>6447.74</v>
      </c>
      <c r="L154" s="107" t="n">
        <v>6341.18</v>
      </c>
    </row>
    <row r="155" customFormat="false" ht="15" hidden="false" customHeight="false" outlineLevel="0" collapsed="false">
      <c r="A155" s="22" t="s">
        <v>2133</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row>
    <row r="156" customFormat="false" ht="15" hidden="false" customHeight="false" outlineLevel="0" collapsed="false">
      <c r="A156" s="28" t="s">
        <v>2134</v>
      </c>
      <c r="B156" s="62" t="s">
        <v>2135</v>
      </c>
      <c r="C156" s="64" t="n">
        <f aca="false">SUM(E156:P156)</f>
        <v>2425217.43</v>
      </c>
      <c r="E156" s="107" t="n">
        <v>274905.14</v>
      </c>
      <c r="F156" s="107" t="n">
        <v>291488.05</v>
      </c>
      <c r="G156" s="107" t="n">
        <v>301509.25</v>
      </c>
      <c r="H156" s="107" t="n">
        <v>296837.91</v>
      </c>
      <c r="I156" s="107" t="n">
        <v>308538.08</v>
      </c>
      <c r="J156" s="107" t="n">
        <v>316902.38</v>
      </c>
      <c r="K156" s="107" t="n">
        <v>320768.48</v>
      </c>
      <c r="L156" s="107" t="n">
        <v>314268.14</v>
      </c>
    </row>
    <row r="157" customFormat="false" ht="15" hidden="false" customHeight="false" outlineLevel="0" collapsed="false">
      <c r="A157" s="28" t="s">
        <v>2136</v>
      </c>
      <c r="B157" s="62" t="s">
        <v>2135</v>
      </c>
      <c r="C157" s="64" t="n">
        <f aca="false">SUM(E157:P157)</f>
        <v>740000</v>
      </c>
      <c r="E157" s="107" t="n">
        <v>71000</v>
      </c>
      <c r="F157" s="107" t="n">
        <v>94000</v>
      </c>
      <c r="G157" s="107" t="n">
        <v>67000</v>
      </c>
      <c r="H157" s="107" t="n">
        <v>73000</v>
      </c>
      <c r="I157" s="107" t="n">
        <v>118000</v>
      </c>
      <c r="J157" s="107" t="n">
        <v>115000</v>
      </c>
      <c r="K157" s="107" t="n">
        <v>76000</v>
      </c>
      <c r="L157" s="107" t="n">
        <v>126000</v>
      </c>
    </row>
    <row r="158" customFormat="false" ht="15" hidden="false" customHeight="false" outlineLevel="0" collapsed="false">
      <c r="A158" s="28" t="s">
        <v>536</v>
      </c>
      <c r="B158" s="62" t="s">
        <v>2135</v>
      </c>
      <c r="C158" s="64" t="n">
        <f aca="false">SUM(E158:P158)</f>
        <v>1217470.41</v>
      </c>
      <c r="E158" s="107" t="n">
        <v>143333.34</v>
      </c>
      <c r="F158" s="107" t="n">
        <v>150029.1</v>
      </c>
      <c r="G158" s="107" t="n">
        <v>188630.35</v>
      </c>
      <c r="H158" s="107" t="n">
        <v>138810.95</v>
      </c>
      <c r="I158" s="107" t="n">
        <v>124166.67</v>
      </c>
      <c r="J158" s="107" t="n">
        <v>187500</v>
      </c>
      <c r="K158" s="107" t="n">
        <v>134166.67</v>
      </c>
      <c r="L158" s="107" t="n">
        <v>150833.33</v>
      </c>
    </row>
    <row r="159" customFormat="false" ht="15" hidden="false" customHeight="false" outlineLevel="0" collapsed="false">
      <c r="A159" s="28" t="s">
        <v>537</v>
      </c>
      <c r="B159" s="62" t="s">
        <v>2135</v>
      </c>
      <c r="C159" s="64" t="n">
        <f aca="false">SUM(E159:P159)</f>
        <v>935770</v>
      </c>
      <c r="E159" s="107" t="n">
        <v>0</v>
      </c>
      <c r="F159" s="107" t="n">
        <v>0</v>
      </c>
      <c r="G159" s="107" t="n">
        <v>0</v>
      </c>
      <c r="H159" s="107" t="n">
        <v>0</v>
      </c>
      <c r="I159" s="107" t="n">
        <v>0</v>
      </c>
      <c r="J159" s="107" t="n">
        <v>0</v>
      </c>
      <c r="K159" s="107" t="n">
        <v>935770</v>
      </c>
      <c r="L159" s="107" t="n">
        <v>0</v>
      </c>
    </row>
    <row r="160" customFormat="false" ht="15" hidden="false" customHeight="false" outlineLevel="0" collapsed="false">
      <c r="A160" s="28" t="s">
        <v>2137</v>
      </c>
      <c r="B160" s="62" t="s">
        <v>2135</v>
      </c>
      <c r="C160" s="64" t="n">
        <f aca="false">SUM(E160:P160)</f>
        <v>128185.5</v>
      </c>
      <c r="E160" s="107" t="n">
        <v>18300</v>
      </c>
      <c r="F160" s="107" t="n">
        <v>17540.71</v>
      </c>
      <c r="G160" s="107" t="n">
        <v>17000.73</v>
      </c>
      <c r="H160" s="107" t="n">
        <v>16375.49</v>
      </c>
      <c r="I160" s="107" t="n">
        <v>15411.49</v>
      </c>
      <c r="J160" s="107" t="n">
        <v>14769.42</v>
      </c>
      <c r="K160" s="107" t="n">
        <v>14166.97</v>
      </c>
      <c r="L160" s="107" t="n">
        <v>14620.69</v>
      </c>
    </row>
    <row r="161" customFormat="false" ht="15" hidden="false" customHeight="false" outlineLevel="0" collapsed="false">
      <c r="A161" s="22" t="s">
        <v>2138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row>
    <row r="162" customFormat="false" ht="15" hidden="false" customHeight="false" outlineLevel="0" collapsed="false">
      <c r="A162" s="28" t="s">
        <v>2139</v>
      </c>
      <c r="B162" s="62" t="s">
        <v>2135</v>
      </c>
      <c r="C162" s="64" t="n">
        <f aca="false">SUM(E162:P162)</f>
        <v>1014459.96</v>
      </c>
      <c r="E162" s="107" t="n">
        <v>107546.17</v>
      </c>
      <c r="F162" s="107" t="n">
        <v>123320.74</v>
      </c>
      <c r="G162" s="107" t="n">
        <v>125872.77</v>
      </c>
      <c r="H162" s="107" t="n">
        <v>124046.4</v>
      </c>
      <c r="I162" s="107" t="n">
        <v>123735.7</v>
      </c>
      <c r="J162" s="107" t="n">
        <v>133093.42</v>
      </c>
      <c r="K162" s="107" t="n">
        <v>134594.58</v>
      </c>
      <c r="L162" s="107" t="n">
        <v>142250.18</v>
      </c>
    </row>
    <row r="163" customFormat="false" ht="15" hidden="false" customHeight="false" outlineLevel="0" collapsed="false">
      <c r="A163" s="28" t="s">
        <v>565</v>
      </c>
      <c r="B163" s="62" t="s">
        <v>2135</v>
      </c>
      <c r="C163" s="64" t="n">
        <f aca="false">SUM(E163:P163)</f>
        <v>68665.35</v>
      </c>
      <c r="E163" s="107" t="n">
        <v>7104.97</v>
      </c>
      <c r="F163" s="107" t="n">
        <v>8172.87</v>
      </c>
      <c r="G163" s="107" t="n">
        <v>8429.57</v>
      </c>
      <c r="H163" s="107" t="n">
        <v>8033.9</v>
      </c>
      <c r="I163" s="107" t="n">
        <v>8834.88</v>
      </c>
      <c r="J163" s="107" t="n">
        <v>9004.17</v>
      </c>
      <c r="K163" s="107" t="n">
        <v>9240.64</v>
      </c>
      <c r="L163" s="107" t="n">
        <v>9844.35</v>
      </c>
    </row>
    <row r="164" customFormat="false" ht="15" hidden="false" customHeight="false" outlineLevel="0" collapsed="false">
      <c r="A164" s="28" t="s">
        <v>2140</v>
      </c>
      <c r="B164" s="62" t="s">
        <v>2135</v>
      </c>
      <c r="C164" s="64" t="n">
        <f aca="false">SUM(E164:P164)</f>
        <v>550680.04</v>
      </c>
      <c r="E164" s="107" t="n">
        <v>67925.28</v>
      </c>
      <c r="F164" s="107" t="n">
        <v>70026.06</v>
      </c>
      <c r="G164" s="107" t="n">
        <v>67643.71</v>
      </c>
      <c r="H164" s="107" t="n">
        <v>74176.79</v>
      </c>
      <c r="I164" s="107" t="n">
        <v>69366.35</v>
      </c>
      <c r="J164" s="107" t="n">
        <v>65767.27</v>
      </c>
      <c r="K164" s="107" t="n">
        <v>67888.45</v>
      </c>
      <c r="L164" s="107" t="n">
        <v>67886.13</v>
      </c>
    </row>
    <row r="165" customFormat="false" ht="15" hidden="false" customHeight="false" outlineLevel="0" collapsed="false">
      <c r="A165" s="28" t="s">
        <v>2141</v>
      </c>
      <c r="B165" s="62" t="s">
        <v>2135</v>
      </c>
      <c r="C165" s="64" t="n">
        <f aca="false">SUM(E165:P165)</f>
        <v>496314.42</v>
      </c>
      <c r="E165" s="107" t="n">
        <v>48894.67</v>
      </c>
      <c r="F165" s="107" t="n">
        <v>52015.61</v>
      </c>
      <c r="G165" s="107" t="n">
        <v>61986</v>
      </c>
      <c r="H165" s="107" t="n">
        <v>95719.9</v>
      </c>
      <c r="I165" s="107" t="n">
        <v>62591.64</v>
      </c>
      <c r="J165" s="107" t="n">
        <v>52805.77</v>
      </c>
      <c r="K165" s="107" t="n">
        <v>79688.21</v>
      </c>
      <c r="L165" s="107" t="n">
        <v>42612.62</v>
      </c>
    </row>
    <row r="166" customFormat="false" ht="15" hidden="false" customHeight="false" outlineLevel="0" collapsed="false">
      <c r="A166" s="28" t="s">
        <v>2142</v>
      </c>
      <c r="B166" s="62" t="s">
        <v>2135</v>
      </c>
      <c r="C166" s="64" t="n">
        <f aca="false">SUM(E166:P166)</f>
        <v>367200</v>
      </c>
      <c r="E166" s="107" t="n">
        <v>122400</v>
      </c>
      <c r="F166" s="107" t="n">
        <v>0</v>
      </c>
      <c r="G166" s="107" t="n">
        <v>0</v>
      </c>
      <c r="H166" s="107" t="n">
        <v>122400</v>
      </c>
      <c r="I166" s="107" t="n">
        <v>0</v>
      </c>
      <c r="J166" s="107" t="n">
        <v>0</v>
      </c>
      <c r="K166" s="107" t="n">
        <v>122400</v>
      </c>
      <c r="L166" s="107" t="n">
        <v>0</v>
      </c>
    </row>
    <row r="167" customFormat="false" ht="15" hidden="false" customHeight="false" outlineLevel="0" collapsed="false">
      <c r="A167" s="28" t="s">
        <v>745</v>
      </c>
      <c r="B167" s="62" t="s">
        <v>2135</v>
      </c>
      <c r="C167" s="64" t="n">
        <f aca="false">SUM(E167:P167)</f>
        <v>36000</v>
      </c>
      <c r="E167" s="107" t="n">
        <v>4500</v>
      </c>
      <c r="F167" s="107" t="n">
        <v>4500</v>
      </c>
      <c r="G167" s="107" t="n">
        <v>4500</v>
      </c>
      <c r="H167" s="107" t="n">
        <v>4500</v>
      </c>
      <c r="I167" s="107" t="n">
        <v>4500</v>
      </c>
      <c r="J167" s="107" t="n">
        <v>4500</v>
      </c>
      <c r="K167" s="107" t="n">
        <v>4500</v>
      </c>
      <c r="L167" s="107" t="n">
        <v>4500</v>
      </c>
    </row>
    <row r="168" customFormat="false" ht="15" hidden="false" customHeight="false" outlineLevel="0" collapsed="false">
      <c r="A168" s="28" t="s">
        <v>2143</v>
      </c>
      <c r="B168" s="62" t="s">
        <v>2135</v>
      </c>
      <c r="C168" s="64" t="n">
        <f aca="false">SUM(E168:P168)</f>
        <v>1892475.38</v>
      </c>
      <c r="E168" s="107" t="n">
        <v>213682.42</v>
      </c>
      <c r="F168" s="107" t="n">
        <v>219057.13</v>
      </c>
      <c r="G168" s="107" t="n">
        <v>226130.17</v>
      </c>
      <c r="H168" s="107" t="n">
        <v>245947.1</v>
      </c>
      <c r="I168" s="107" t="n">
        <v>239469.37</v>
      </c>
      <c r="J168" s="107" t="n">
        <v>254250.73</v>
      </c>
      <c r="K168" s="107" t="n">
        <v>241473.55</v>
      </c>
      <c r="L168" s="107" t="n">
        <v>252464.91</v>
      </c>
    </row>
    <row r="169" customFormat="false" ht="15" hidden="false" customHeight="false" outlineLevel="0" collapsed="false">
      <c r="A169" s="28" t="s">
        <v>541</v>
      </c>
      <c r="B169" s="62" t="s">
        <v>2135</v>
      </c>
      <c r="C169" s="64" t="n">
        <f aca="false">SUM(E169:P169)</f>
        <v>376239.08</v>
      </c>
      <c r="E169" s="107" t="n">
        <v>42455.68</v>
      </c>
      <c r="F169" s="107" t="n">
        <v>43544.32</v>
      </c>
      <c r="G169" s="107" t="n">
        <v>45112.36</v>
      </c>
      <c r="H169" s="107" t="n">
        <v>49245.99</v>
      </c>
      <c r="I169" s="107" t="n">
        <v>47195.8</v>
      </c>
      <c r="J169" s="107" t="n">
        <v>50719.38</v>
      </c>
      <c r="K169" s="107" t="n">
        <v>47540.26</v>
      </c>
      <c r="L169" s="107" t="n">
        <v>50425.29</v>
      </c>
    </row>
    <row r="170" customFormat="false" ht="15" hidden="false" customHeight="false" outlineLevel="0" collapsed="false">
      <c r="A170" s="28" t="s">
        <v>542</v>
      </c>
      <c r="B170" s="62" t="s">
        <v>2135</v>
      </c>
      <c r="C170" s="64" t="n">
        <f aca="false">SUM(E170:P170)</f>
        <v>658440.49</v>
      </c>
      <c r="E170" s="107" t="n">
        <v>73047.74</v>
      </c>
      <c r="F170" s="107" t="n">
        <v>75173.11</v>
      </c>
      <c r="G170" s="107" t="n">
        <v>77939.69</v>
      </c>
      <c r="H170" s="107" t="n">
        <v>87441.15</v>
      </c>
      <c r="I170" s="107" t="n">
        <v>81918.61</v>
      </c>
      <c r="J170" s="107" t="n">
        <v>90697.69</v>
      </c>
      <c r="K170" s="107" t="n">
        <v>82524.46</v>
      </c>
      <c r="L170" s="107" t="n">
        <v>89698.04</v>
      </c>
    </row>
    <row r="171" customFormat="false" ht="15" hidden="false" customHeight="false" outlineLevel="0" collapsed="false">
      <c r="A171" s="28" t="s">
        <v>2144</v>
      </c>
      <c r="B171" s="62" t="s">
        <v>2135</v>
      </c>
      <c r="C171" s="64" t="n">
        <f aca="false">SUM(E171:P171)</f>
        <v>155790.89</v>
      </c>
      <c r="E171" s="107" t="n">
        <v>23815.14</v>
      </c>
      <c r="F171" s="107" t="n">
        <v>5032.49</v>
      </c>
      <c r="G171" s="107" t="n">
        <v>29880.54</v>
      </c>
      <c r="H171" s="107" t="n">
        <v>24527.85</v>
      </c>
      <c r="I171" s="107" t="n">
        <v>0</v>
      </c>
      <c r="J171" s="107" t="n">
        <v>32840.42</v>
      </c>
      <c r="K171" s="107" t="n">
        <v>35412.85</v>
      </c>
      <c r="L171" s="107" t="n">
        <v>4281.6</v>
      </c>
    </row>
    <row r="172" customFormat="false" ht="15" hidden="false" customHeight="false" outlineLevel="0" collapsed="false">
      <c r="A172" s="28" t="s">
        <v>433</v>
      </c>
      <c r="B172" s="62" t="s">
        <v>2135</v>
      </c>
      <c r="C172" s="64" t="n">
        <f aca="false">SUM(E172:P172)</f>
        <v>8550</v>
      </c>
      <c r="E172" s="107" t="n">
        <v>0</v>
      </c>
      <c r="F172" s="107" t="n">
        <v>0</v>
      </c>
      <c r="G172" s="107" t="n">
        <v>0</v>
      </c>
      <c r="H172" s="107" t="n">
        <v>0</v>
      </c>
      <c r="I172" s="107" t="n">
        <v>500</v>
      </c>
      <c r="J172" s="107" t="n">
        <v>8050</v>
      </c>
      <c r="K172" s="107" t="n">
        <v>0</v>
      </c>
      <c r="L172" s="107" t="n">
        <v>0</v>
      </c>
    </row>
    <row r="173" customFormat="false" ht="15" hidden="false" customHeight="false" outlineLevel="0" collapsed="false">
      <c r="A173" s="22" t="s">
        <v>2145</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customFormat="false" ht="15" hidden="false" customHeight="false" outlineLevel="0" collapsed="false">
      <c r="A174" s="28" t="s">
        <v>459</v>
      </c>
      <c r="B174" s="62" t="s">
        <v>2146</v>
      </c>
      <c r="C174" s="107" t="n">
        <v>12200000</v>
      </c>
    </row>
    <row r="175" customFormat="false" ht="15" hidden="false" customHeight="false" outlineLevel="0" collapsed="false">
      <c r="A175" s="28" t="s">
        <v>464</v>
      </c>
      <c r="B175" s="62" t="s">
        <v>2146</v>
      </c>
      <c r="C175" s="107" t="n">
        <v>8149.11</v>
      </c>
    </row>
    <row r="176" customFormat="false" ht="15" hidden="false" customHeight="false" outlineLevel="0" collapsed="false">
      <c r="A176" s="28" t="s">
        <v>461</v>
      </c>
      <c r="B176" s="62" t="s">
        <v>2146</v>
      </c>
      <c r="C176" s="107" t="n">
        <v>141000</v>
      </c>
    </row>
    <row r="177" customFormat="false" ht="15" hidden="false" customHeight="false" outlineLevel="0" collapsed="false">
      <c r="A177" s="28" t="s">
        <v>462</v>
      </c>
      <c r="B177" s="62" t="s">
        <v>2146</v>
      </c>
      <c r="C177" s="107" t="n">
        <v>226666.67</v>
      </c>
    </row>
    <row r="178" customFormat="false" ht="15" hidden="false" customHeight="false" outlineLevel="0" collapsed="false">
      <c r="A178" s="28" t="s">
        <v>2147</v>
      </c>
      <c r="B178" s="62" t="s">
        <v>2146</v>
      </c>
      <c r="C178" s="107" t="n">
        <v>0</v>
      </c>
    </row>
    <row r="179" customFormat="false" ht="15" hidden="false" customHeight="false" outlineLevel="0" collapsed="false">
      <c r="A179" s="28" t="s">
        <v>2148</v>
      </c>
      <c r="B179" s="62" t="s">
        <v>2146</v>
      </c>
      <c r="C179" s="107" t="n">
        <v>935770</v>
      </c>
    </row>
    <row r="180" customFormat="false" ht="15" hidden="false" customHeight="false" outlineLevel="0" collapsed="false">
      <c r="A180" s="28" t="s">
        <v>466</v>
      </c>
      <c r="B180" s="62" t="s">
        <v>2146</v>
      </c>
      <c r="C180" s="107" t="n">
        <v>30000</v>
      </c>
    </row>
    <row r="181" customFormat="false" ht="15" hidden="false" customHeight="false" outlineLevel="0" collapsed="false">
      <c r="A181" s="28" t="s">
        <v>468</v>
      </c>
      <c r="B181" s="62" t="s">
        <v>2146</v>
      </c>
      <c r="C181" s="107" t="n">
        <v>102000</v>
      </c>
    </row>
    <row r="182" customFormat="false" ht="15" hidden="false" customHeight="false" outlineLevel="0" collapsed="false">
      <c r="A182" s="28" t="s">
        <v>2149</v>
      </c>
      <c r="B182" s="62" t="s">
        <v>2146</v>
      </c>
      <c r="C182" s="107" t="n">
        <v>260000</v>
      </c>
    </row>
    <row r="183" customFormat="false" ht="15" hidden="false" customHeight="false" outlineLevel="0" collapsed="false">
      <c r="A183" s="28" t="s">
        <v>2150</v>
      </c>
      <c r="B183" s="62" t="s">
        <v>2146</v>
      </c>
      <c r="C183" s="107" t="n">
        <v>140000</v>
      </c>
    </row>
    <row r="184" customFormat="false" ht="15" hidden="false" customHeight="false" outlineLevel="0" collapsed="false">
      <c r="A184" s="28" t="s">
        <v>2151</v>
      </c>
      <c r="B184" s="62" t="s">
        <v>2146</v>
      </c>
      <c r="C184" s="107" t="n">
        <v>180000</v>
      </c>
    </row>
    <row r="185" customFormat="false" ht="15" hidden="false" customHeight="false" outlineLevel="0" collapsed="false">
      <c r="A185" s="28" t="s">
        <v>2152</v>
      </c>
      <c r="B185" s="62" t="s">
        <v>2146</v>
      </c>
      <c r="C185" s="107" t="n">
        <v>60000</v>
      </c>
    </row>
    <row r="186" customFormat="false" ht="15" hidden="false" customHeight="false" outlineLevel="0" collapsed="false">
      <c r="A186" s="28" t="s">
        <v>2153</v>
      </c>
      <c r="B186" s="62" t="s">
        <v>2146</v>
      </c>
      <c r="C186" s="107" t="n">
        <v>107812.56</v>
      </c>
    </row>
    <row r="187" customFormat="false" ht="15" hidden="false" customHeight="false" outlineLevel="0" collapsed="false">
      <c r="A187" s="28" t="s">
        <v>474</v>
      </c>
      <c r="B187" s="62" t="s">
        <v>2146</v>
      </c>
      <c r="C187" s="107" t="n">
        <v>7104.97</v>
      </c>
    </row>
    <row r="188" customFormat="false" ht="15" hidden="false" customHeight="false" outlineLevel="0" collapsed="false">
      <c r="A188" s="28" t="s">
        <v>475</v>
      </c>
      <c r="B188" s="62" t="s">
        <v>2146</v>
      </c>
      <c r="C188" s="107" t="n">
        <v>67925.28</v>
      </c>
    </row>
    <row r="189" customFormat="false" ht="15" hidden="false" customHeight="false" outlineLevel="0" collapsed="false">
      <c r="A189" s="28" t="s">
        <v>2154</v>
      </c>
      <c r="B189" s="62" t="s">
        <v>2146</v>
      </c>
      <c r="C189" s="107" t="n">
        <v>48894.67</v>
      </c>
    </row>
    <row r="190" customFormat="false" ht="15" hidden="false" customHeight="false" outlineLevel="0" collapsed="false">
      <c r="A190" s="28" t="s">
        <v>477</v>
      </c>
      <c r="B190" s="62" t="s">
        <v>2146</v>
      </c>
      <c r="C190" s="107" t="n">
        <v>384305.29</v>
      </c>
    </row>
    <row r="191" customFormat="false" ht="15" hidden="false" customHeight="false" outlineLevel="0" collapsed="false">
      <c r="A191" s="28" t="s">
        <v>478</v>
      </c>
      <c r="B191" s="62" t="s">
        <v>2146</v>
      </c>
      <c r="C191" s="107" t="n">
        <v>208980.33</v>
      </c>
    </row>
    <row r="192" customFormat="false" ht="15" hidden="false" customHeight="false" outlineLevel="0" collapsed="false">
      <c r="A192" s="28" t="s">
        <v>2155</v>
      </c>
      <c r="B192" s="62" t="s">
        <v>2146</v>
      </c>
      <c r="C192" s="107" t="n">
        <v>23815.14</v>
      </c>
    </row>
    <row r="193" customFormat="false" ht="15" hidden="false" customHeight="false" outlineLevel="0" collapsed="false">
      <c r="A193" s="28" t="s">
        <v>481</v>
      </c>
      <c r="B193" s="62" t="s">
        <v>2146</v>
      </c>
      <c r="C193" s="107" t="n">
        <v>23500</v>
      </c>
    </row>
    <row r="194" customFormat="false" ht="15" hidden="false" customHeight="false" outlineLevel="0" collapsed="false">
      <c r="A194" s="28" t="s">
        <v>2156</v>
      </c>
      <c r="B194" s="62" t="s">
        <v>2146</v>
      </c>
      <c r="C194" s="107" t="n">
        <v>213682.42</v>
      </c>
    </row>
    <row r="195" customFormat="false" ht="15" hidden="false" customHeight="false" outlineLevel="0" collapsed="false">
      <c r="A195" s="28" t="s">
        <v>2157</v>
      </c>
      <c r="B195" s="62" t="s">
        <v>2146</v>
      </c>
      <c r="C195" s="107" t="n">
        <v>42455.68</v>
      </c>
    </row>
    <row r="196" customFormat="false" ht="15" hidden="false" customHeight="false" outlineLevel="0" collapsed="false">
      <c r="A196" s="28" t="s">
        <v>2158</v>
      </c>
      <c r="B196" s="62" t="s">
        <v>2146</v>
      </c>
      <c r="C196" s="107" t="n">
        <v>73047.74</v>
      </c>
    </row>
    <row r="197" customFormat="false" ht="15" hidden="false" customHeight="false" outlineLevel="0" collapsed="false">
      <c r="A197" s="28" t="s">
        <v>2159</v>
      </c>
      <c r="B197" s="62" t="s">
        <v>2146</v>
      </c>
      <c r="C197" s="107" t="n">
        <v>0</v>
      </c>
    </row>
    <row r="198" customFormat="false" ht="15" hidden="false" customHeight="false" outlineLevel="0" collapsed="false">
      <c r="A198" s="28" t="s">
        <v>486</v>
      </c>
      <c r="B198" s="62" t="s">
        <v>2146</v>
      </c>
      <c r="C198" s="107" t="n">
        <v>0</v>
      </c>
    </row>
    <row r="199" customFormat="false" ht="15" hidden="false" customHeight="false" outlineLevel="0" collapsed="false">
      <c r="A199" s="28" t="s">
        <v>487</v>
      </c>
      <c r="B199" s="62" t="s">
        <v>2146</v>
      </c>
      <c r="C199" s="107" t="n">
        <v>263740.15</v>
      </c>
    </row>
    <row r="200" customFormat="false" ht="15" hidden="false" customHeight="false" outlineLevel="0" collapsed="false">
      <c r="A200" s="28" t="s">
        <v>2160</v>
      </c>
      <c r="B200" s="62" t="s">
        <v>2146</v>
      </c>
      <c r="C200" s="107" t="n">
        <v>500</v>
      </c>
    </row>
    <row r="201" customFormat="false" ht="15" hidden="false" customHeight="false" outlineLevel="0" collapsed="false">
      <c r="A201" s="28" t="s">
        <v>493</v>
      </c>
      <c r="B201" s="62" t="s">
        <v>2146</v>
      </c>
      <c r="C201" s="107" t="n">
        <v>150000</v>
      </c>
    </row>
    <row r="202" customFormat="false" ht="15" hidden="false" customHeight="false" outlineLevel="0" collapsed="false">
      <c r="A202" s="28" t="s">
        <v>494</v>
      </c>
      <c r="B202" s="62" t="s">
        <v>2146</v>
      </c>
      <c r="C202" s="107" t="n">
        <v>24450000</v>
      </c>
    </row>
    <row r="203" customFormat="false" ht="15" hidden="false" customHeight="false" outlineLevel="0" collapsed="false">
      <c r="A203" s="28" t="s">
        <v>497</v>
      </c>
      <c r="B203" s="62" t="s">
        <v>2146</v>
      </c>
      <c r="C203" s="107" t="n">
        <v>-12182178.45</v>
      </c>
    </row>
    <row r="204" customFormat="false" ht="15" hidden="false" customHeight="false" outlineLevel="0" collapsed="false">
      <c r="A204" s="28" t="s">
        <v>2161</v>
      </c>
      <c r="B204" s="62" t="s">
        <v>2125</v>
      </c>
      <c r="C204" s="137" t="n">
        <v>665</v>
      </c>
    </row>
    <row r="205" customFormat="false" ht="15" hidden="false" customHeight="false" outlineLevel="0" collapsed="false">
      <c r="A205" s="28" t="s">
        <v>2162</v>
      </c>
      <c r="B205" s="62" t="s">
        <v>2146</v>
      </c>
      <c r="C205" s="107" t="n">
        <v>126226.94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1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15" min="2" style="0" width="12"/>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2163</v>
      </c>
    </row>
    <row r="3" customFormat="false" ht="15" hidden="false" customHeight="false" outlineLevel="0" collapsed="false">
      <c r="A3" s="25" t="s">
        <v>2164</v>
      </c>
    </row>
    <row r="5" customFormat="false" ht="19.5" hidden="false" customHeight="true" outlineLevel="0" collapsed="false">
      <c r="A5" s="26" t="s">
        <v>341</v>
      </c>
      <c r="B5" s="27" t="s">
        <v>2165</v>
      </c>
      <c r="C5" s="27" t="s">
        <v>2166</v>
      </c>
      <c r="D5" s="27" t="s">
        <v>2167</v>
      </c>
      <c r="E5" s="27" t="s">
        <v>2168</v>
      </c>
      <c r="F5" s="27" t="s">
        <v>2169</v>
      </c>
      <c r="G5" s="27" t="s">
        <v>2170</v>
      </c>
      <c r="H5" s="27" t="s">
        <v>2171</v>
      </c>
      <c r="I5" s="27" t="s">
        <v>2172</v>
      </c>
      <c r="J5" s="27" t="s">
        <v>2173</v>
      </c>
      <c r="K5" s="27" t="s">
        <v>2174</v>
      </c>
      <c r="L5" s="27" t="s">
        <v>2175</v>
      </c>
      <c r="M5" s="27" t="s">
        <v>2176</v>
      </c>
      <c r="N5" s="27" t="s">
        <v>2177</v>
      </c>
      <c r="O5" s="27" t="s">
        <v>2178</v>
      </c>
    </row>
    <row r="6" customFormat="false" ht="15" hidden="false" customHeight="false" outlineLevel="0" collapsed="false">
      <c r="A6" s="22" t="s">
        <v>2179</v>
      </c>
      <c r="B6" s="23"/>
      <c r="C6" s="23"/>
      <c r="D6" s="23"/>
      <c r="E6" s="23"/>
      <c r="F6" s="23"/>
      <c r="G6" s="23"/>
      <c r="H6" s="23"/>
      <c r="I6" s="23"/>
      <c r="J6" s="23"/>
      <c r="K6" s="23"/>
      <c r="L6" s="23"/>
      <c r="M6" s="23"/>
      <c r="N6" s="23"/>
      <c r="O6" s="23"/>
    </row>
    <row r="7" customFormat="false" ht="15" hidden="false" customHeight="false" outlineLevel="0" collapsed="false">
      <c r="A7" s="0" t="s">
        <v>2180</v>
      </c>
      <c r="B7" s="56" t="s">
        <v>2181</v>
      </c>
      <c r="C7" s="107" t="n">
        <v>59181.33</v>
      </c>
      <c r="D7" s="107" t="n">
        <v>57327.92</v>
      </c>
      <c r="E7" s="107" t="n">
        <v>61635.47</v>
      </c>
      <c r="F7" s="107" t="n">
        <v>65423.87</v>
      </c>
      <c r="G7" s="107" t="n">
        <v>70630.94</v>
      </c>
      <c r="H7" s="107" t="n">
        <v>66465.34</v>
      </c>
      <c r="I7" s="107" t="n">
        <v>63741.37</v>
      </c>
      <c r="J7" s="107" t="n">
        <v>60341.25</v>
      </c>
      <c r="K7" s="107" t="n">
        <v>79861.34</v>
      </c>
      <c r="L7" s="107" t="n">
        <v>80534.2</v>
      </c>
      <c r="M7" s="107" t="n">
        <v>79718.21</v>
      </c>
      <c r="N7" s="107" t="n">
        <v>77725.58</v>
      </c>
      <c r="O7" s="36" t="n">
        <f aca="false">SUM(C7:N7)</f>
        <v>822586.82</v>
      </c>
    </row>
    <row r="8" customFormat="false" ht="15" hidden="false" customHeight="false" outlineLevel="0" collapsed="false">
      <c r="A8" s="0" t="s">
        <v>2182</v>
      </c>
      <c r="B8" s="56" t="s">
        <v>2183</v>
      </c>
      <c r="C8" s="107" t="n">
        <v>46250.53</v>
      </c>
      <c r="D8" s="107" t="n">
        <v>46865.16</v>
      </c>
      <c r="E8" s="107" t="n">
        <v>48844.87</v>
      </c>
      <c r="F8" s="107" t="n">
        <v>51057.13</v>
      </c>
      <c r="G8" s="107" t="n">
        <v>54092.84</v>
      </c>
      <c r="H8" s="107" t="n">
        <v>55481.6</v>
      </c>
      <c r="I8" s="107" t="n">
        <v>55761.45</v>
      </c>
      <c r="J8" s="107" t="n">
        <v>55781.85</v>
      </c>
      <c r="K8" s="107" t="n">
        <v>59699.39</v>
      </c>
      <c r="L8" s="107" t="n">
        <v>63158.91</v>
      </c>
      <c r="M8" s="107" t="n">
        <v>65049.73</v>
      </c>
      <c r="N8" s="107" t="n">
        <v>67104.41</v>
      </c>
      <c r="O8" s="36" t="n">
        <f aca="false">SUM(C8:N8)</f>
        <v>669147.87</v>
      </c>
    </row>
    <row r="9" customFormat="false" ht="15" hidden="false" customHeight="false" outlineLevel="0" collapsed="false">
      <c r="A9" s="0" t="s">
        <v>2184</v>
      </c>
      <c r="B9" s="56" t="s">
        <v>2185</v>
      </c>
      <c r="C9" s="107" t="n">
        <v>53704.6</v>
      </c>
      <c r="D9" s="107" t="n">
        <v>53288.73</v>
      </c>
      <c r="E9" s="107" t="n">
        <v>55377.22</v>
      </c>
      <c r="F9" s="107" t="n">
        <v>59397.34</v>
      </c>
      <c r="G9" s="107" t="n">
        <v>58952.48</v>
      </c>
      <c r="H9" s="107" t="n">
        <v>62831.37</v>
      </c>
      <c r="I9" s="107" t="n">
        <v>61602.74</v>
      </c>
      <c r="J9" s="107" t="n">
        <v>64980.23</v>
      </c>
      <c r="K9" s="107" t="n">
        <v>67525.14</v>
      </c>
      <c r="L9" s="107" t="n">
        <v>71843.39</v>
      </c>
      <c r="M9" s="107" t="n">
        <v>74715.74</v>
      </c>
      <c r="N9" s="107" t="n">
        <v>77791.29</v>
      </c>
      <c r="O9" s="36" t="n">
        <f aca="false">SUM(C9:N9)</f>
        <v>762010.27</v>
      </c>
    </row>
    <row r="10" customFormat="false" ht="15" hidden="false" customHeight="false" outlineLevel="0" collapsed="false">
      <c r="A10" s="0" t="s">
        <v>846</v>
      </c>
      <c r="B10" s="56" t="s">
        <v>2186</v>
      </c>
      <c r="C10" s="107" t="n">
        <v>7454.07</v>
      </c>
      <c r="D10" s="107" t="n">
        <v>6423.57</v>
      </c>
      <c r="E10" s="107" t="n">
        <v>6532.35</v>
      </c>
      <c r="F10" s="107" t="n">
        <v>8340.21</v>
      </c>
      <c r="G10" s="107" t="n">
        <v>4859.64</v>
      </c>
      <c r="H10" s="107" t="n">
        <v>7349.77</v>
      </c>
      <c r="I10" s="107" t="n">
        <v>5841.29</v>
      </c>
      <c r="J10" s="107" t="n">
        <v>9198.38</v>
      </c>
      <c r="K10" s="107" t="n">
        <v>7825.75</v>
      </c>
      <c r="L10" s="107" t="n">
        <v>8684.48</v>
      </c>
      <c r="M10" s="107" t="n">
        <v>9666.01</v>
      </c>
      <c r="N10" s="107" t="n">
        <v>10686.88</v>
      </c>
      <c r="O10" s="36" t="n">
        <f aca="false">SUM(C10:N10)</f>
        <v>92862.4</v>
      </c>
    </row>
    <row r="11" customFormat="false" ht="15" hidden="false" customHeight="false" outlineLevel="0" collapsed="false">
      <c r="A11" s="0" t="s">
        <v>2187</v>
      </c>
      <c r="B11" s="56" t="s">
        <v>2188</v>
      </c>
      <c r="C11" s="107" t="n">
        <v>96044.75</v>
      </c>
      <c r="D11" s="107" t="n">
        <v>97888.21</v>
      </c>
      <c r="E11" s="107" t="n">
        <v>105298.3</v>
      </c>
      <c r="F11" s="107" t="n">
        <v>109988.46</v>
      </c>
      <c r="G11" s="107" t="n">
        <v>114651.05</v>
      </c>
      <c r="H11" s="107" t="n">
        <v>118912.69</v>
      </c>
      <c r="I11" s="107" t="n">
        <v>123440.32</v>
      </c>
      <c r="J11" s="107" t="n">
        <v>124638.26</v>
      </c>
      <c r="K11" s="107" t="n">
        <v>131899.96</v>
      </c>
      <c r="L11" s="107" t="n">
        <v>138048.09</v>
      </c>
      <c r="M11" s="107" t="n">
        <v>139939.51</v>
      </c>
      <c r="N11" s="107" t="n">
        <v>143943.66</v>
      </c>
      <c r="O11" s="36" t="n">
        <f aca="false">SUM(C11:N11)</f>
        <v>1444693.26</v>
      </c>
    </row>
    <row r="12" customFormat="false" ht="15" hidden="false" customHeight="false" outlineLevel="0" collapsed="false">
      <c r="A12" s="0" t="s">
        <v>2189</v>
      </c>
      <c r="B12" s="56" t="s">
        <v>2190</v>
      </c>
      <c r="C12" s="107" t="n">
        <v>16704.74</v>
      </c>
      <c r="D12" s="107" t="n">
        <v>17438.89</v>
      </c>
      <c r="E12" s="107" t="n">
        <v>19252.61</v>
      </c>
      <c r="F12" s="107" t="n">
        <v>19492.97</v>
      </c>
      <c r="G12" s="107" t="n">
        <v>19447.48</v>
      </c>
      <c r="H12" s="107" t="n">
        <v>22355.25</v>
      </c>
      <c r="I12" s="107" t="n">
        <v>21404.75</v>
      </c>
      <c r="J12" s="107" t="n">
        <v>22649.61</v>
      </c>
      <c r="K12" s="107" t="n">
        <v>22137.25</v>
      </c>
      <c r="L12" s="107" t="n">
        <v>26879.57</v>
      </c>
      <c r="M12" s="107" t="n">
        <v>25340.03</v>
      </c>
      <c r="N12" s="107" t="n">
        <v>25822.87</v>
      </c>
      <c r="O12" s="36" t="n">
        <f aca="false">SUM(C12:N12)</f>
        <v>258926.02</v>
      </c>
    </row>
    <row r="13" customFormat="false" ht="15" hidden="false" customHeight="false" outlineLevel="0" collapsed="false">
      <c r="A13" s="0" t="s">
        <v>2191</v>
      </c>
      <c r="B13" s="56" t="s">
        <v>2192</v>
      </c>
      <c r="C13" s="126" t="n">
        <v>231</v>
      </c>
      <c r="D13" s="126" t="n">
        <v>235</v>
      </c>
      <c r="E13" s="126" t="n">
        <v>252</v>
      </c>
      <c r="F13" s="126" t="n">
        <v>262</v>
      </c>
      <c r="G13" s="126" t="n">
        <v>272</v>
      </c>
      <c r="H13" s="126" t="n">
        <v>280</v>
      </c>
      <c r="I13" s="126" t="n">
        <v>290</v>
      </c>
      <c r="J13" s="126" t="n">
        <v>292</v>
      </c>
      <c r="K13" s="126" t="n">
        <v>307</v>
      </c>
      <c r="L13" s="126" t="n">
        <v>322</v>
      </c>
      <c r="M13" s="126" t="n">
        <v>326</v>
      </c>
      <c r="N13" s="126" t="n">
        <v>334</v>
      </c>
    </row>
    <row r="14" customFormat="false" ht="15" hidden="false" customHeight="false" outlineLevel="0" collapsed="false">
      <c r="A14" s="0" t="s">
        <v>2193</v>
      </c>
      <c r="B14" s="56" t="s">
        <v>2194</v>
      </c>
      <c r="C14" s="126" t="n">
        <v>18</v>
      </c>
      <c r="D14" s="126" t="n">
        <v>12</v>
      </c>
      <c r="E14" s="126" t="n">
        <v>21</v>
      </c>
      <c r="F14" s="126" t="n">
        <v>17</v>
      </c>
      <c r="G14" s="126" t="n">
        <v>17</v>
      </c>
      <c r="H14" s="126" t="n">
        <v>15</v>
      </c>
      <c r="I14" s="126" t="n">
        <v>16</v>
      </c>
      <c r="J14" s="126" t="n">
        <v>7</v>
      </c>
      <c r="K14" s="126" t="n">
        <v>23</v>
      </c>
      <c r="L14" s="126" t="n">
        <v>22</v>
      </c>
      <c r="M14" s="126" t="n">
        <v>13</v>
      </c>
      <c r="N14" s="126" t="n">
        <v>14</v>
      </c>
      <c r="O14" s="154" t="n">
        <f aca="false">SUM(C14:N14)</f>
        <v>195</v>
      </c>
    </row>
    <row r="15" customFormat="false" ht="15" hidden="false" customHeight="false" outlineLevel="0" collapsed="false">
      <c r="A15" s="0" t="s">
        <v>2195</v>
      </c>
      <c r="B15" s="56" t="s">
        <v>2196</v>
      </c>
      <c r="C15" s="126" t="n">
        <v>7</v>
      </c>
      <c r="D15" s="126" t="n">
        <v>8</v>
      </c>
      <c r="E15" s="126" t="n">
        <v>4</v>
      </c>
      <c r="F15" s="126" t="n">
        <v>7</v>
      </c>
      <c r="G15" s="126" t="n">
        <v>7</v>
      </c>
      <c r="H15" s="126" t="n">
        <v>7</v>
      </c>
      <c r="I15" s="126" t="n">
        <v>6</v>
      </c>
      <c r="J15" s="126" t="n">
        <v>5</v>
      </c>
      <c r="K15" s="126" t="n">
        <v>8</v>
      </c>
      <c r="L15" s="126" t="n">
        <v>7</v>
      </c>
      <c r="M15" s="126" t="n">
        <v>9</v>
      </c>
      <c r="N15" s="126" t="n">
        <v>6</v>
      </c>
      <c r="O15" s="154" t="n">
        <f aca="false">SUM(C15:N15)</f>
        <v>81</v>
      </c>
    </row>
    <row r="16" customFormat="false" ht="15" hidden="false" customHeight="false" outlineLevel="0" collapsed="false">
      <c r="A16" s="0" t="s">
        <v>2197</v>
      </c>
      <c r="B16" s="56" t="s">
        <v>2198</v>
      </c>
      <c r="C16" s="107" t="n">
        <v>127934.74</v>
      </c>
      <c r="D16" s="107" t="n">
        <v>136097.71</v>
      </c>
      <c r="E16" s="107" t="n">
        <v>136377.65</v>
      </c>
      <c r="F16" s="107" t="n">
        <v>147477.03</v>
      </c>
      <c r="G16" s="107" t="n">
        <v>154125.93</v>
      </c>
      <c r="H16" s="107" t="n">
        <v>166667.12</v>
      </c>
      <c r="I16" s="107" t="n">
        <v>170159.88</v>
      </c>
      <c r="J16" s="107" t="n">
        <v>179920.59</v>
      </c>
      <c r="K16" s="107" t="n">
        <v>181828.35</v>
      </c>
      <c r="L16" s="107" t="n">
        <v>193604.26</v>
      </c>
      <c r="M16" s="107" t="n">
        <v>193461.07</v>
      </c>
      <c r="N16" s="107" t="n">
        <v>196023.89</v>
      </c>
      <c r="O16" s="36" t="n">
        <f aca="false">SUM(C16:N16)</f>
        <v>1983678.22</v>
      </c>
    </row>
    <row r="17" customFormat="false" ht="15" hidden="false" customHeight="false" outlineLevel="0" collapsed="false">
      <c r="A17" s="0" t="s">
        <v>2199</v>
      </c>
      <c r="B17" s="56" t="s">
        <v>2200</v>
      </c>
      <c r="C17" s="107" t="n">
        <v>35174.97</v>
      </c>
      <c r="D17" s="107" t="n">
        <v>14103.78</v>
      </c>
      <c r="E17" s="107" t="n">
        <v>33487.28</v>
      </c>
      <c r="F17" s="107" t="n">
        <v>0</v>
      </c>
      <c r="G17" s="107" t="n">
        <v>9862.68</v>
      </c>
      <c r="H17" s="107" t="n">
        <v>55455.12</v>
      </c>
      <c r="I17" s="107" t="n">
        <v>0</v>
      </c>
      <c r="J17" s="107" t="n">
        <v>32253.08</v>
      </c>
      <c r="K17" s="107" t="n">
        <v>82747.07</v>
      </c>
      <c r="L17" s="107" t="n">
        <v>33143.51</v>
      </c>
      <c r="M17" s="107" t="n">
        <v>0</v>
      </c>
      <c r="N17" s="107" t="n">
        <v>0</v>
      </c>
      <c r="O17" s="36" t="n">
        <f aca="false">SUM(C17:N17)</f>
        <v>296227.49</v>
      </c>
    </row>
    <row r="18" customFormat="false" ht="15" hidden="false" customHeight="false" outlineLevel="0" collapsed="false">
      <c r="A18" s="0" t="s">
        <v>563</v>
      </c>
      <c r="B18" s="56" t="s">
        <v>2201</v>
      </c>
      <c r="C18" s="107" t="n">
        <v>163109.71</v>
      </c>
      <c r="D18" s="107" t="n">
        <v>150201.49</v>
      </c>
      <c r="E18" s="107" t="n">
        <v>169864.93</v>
      </c>
      <c r="F18" s="107" t="n">
        <v>147477.03</v>
      </c>
      <c r="G18" s="107" t="n">
        <v>163988.61</v>
      </c>
      <c r="H18" s="107" t="n">
        <v>222122.24</v>
      </c>
      <c r="I18" s="107" t="n">
        <v>170159.88</v>
      </c>
      <c r="J18" s="107" t="n">
        <v>212173.67</v>
      </c>
      <c r="K18" s="107" t="n">
        <v>264575.42</v>
      </c>
      <c r="L18" s="107" t="n">
        <v>226747.77</v>
      </c>
      <c r="M18" s="107" t="n">
        <v>193461.07</v>
      </c>
      <c r="N18" s="107" t="n">
        <v>196023.89</v>
      </c>
      <c r="O18" s="36" t="n">
        <f aca="false">SUM(C18:N18)</f>
        <v>2279905.71</v>
      </c>
    </row>
    <row r="19" customFormat="false" ht="15" hidden="false" customHeight="false" outlineLevel="0" collapsed="false">
      <c r="A19" s="0" t="s">
        <v>2202</v>
      </c>
      <c r="B19" s="56" t="s">
        <v>2203</v>
      </c>
      <c r="C19" s="107" t="n">
        <v>165000</v>
      </c>
      <c r="D19" s="107" t="n">
        <v>160000</v>
      </c>
      <c r="E19" s="107" t="n">
        <v>170000</v>
      </c>
      <c r="F19" s="107" t="n">
        <v>207500</v>
      </c>
      <c r="G19" s="107" t="n">
        <v>160000</v>
      </c>
      <c r="H19" s="107" t="n">
        <v>207500</v>
      </c>
      <c r="I19" s="107" t="n">
        <v>212500</v>
      </c>
      <c r="J19" s="107" t="n">
        <v>195000</v>
      </c>
      <c r="K19" s="107" t="n">
        <v>212500</v>
      </c>
      <c r="L19" s="107" t="n">
        <v>255000</v>
      </c>
      <c r="M19" s="107" t="n">
        <v>197500</v>
      </c>
      <c r="N19" s="107" t="n">
        <v>212500</v>
      </c>
      <c r="O19" s="36" t="n">
        <f aca="false">SUM(C19:N19)</f>
        <v>2355000</v>
      </c>
    </row>
    <row r="20" customFormat="false" ht="15" hidden="false" customHeight="false" outlineLevel="0" collapsed="false">
      <c r="A20" s="0" t="s">
        <v>406</v>
      </c>
      <c r="B20" s="56" t="s">
        <v>2204</v>
      </c>
      <c r="C20" s="107" t="n">
        <v>329563.8</v>
      </c>
      <c r="D20" s="107" t="n">
        <v>318817.32</v>
      </c>
      <c r="E20" s="107" t="n">
        <v>349793.06</v>
      </c>
      <c r="F20" s="107" t="n">
        <v>336355.8</v>
      </c>
      <c r="G20" s="107" t="n">
        <v>357039.62</v>
      </c>
      <c r="H20" s="107" t="n">
        <v>426221.55</v>
      </c>
      <c r="I20" s="107" t="n">
        <v>376607.69</v>
      </c>
      <c r="J20" s="107" t="n">
        <v>424441.77</v>
      </c>
      <c r="K20" s="107" t="n">
        <v>486137.77</v>
      </c>
      <c r="L20" s="107" t="n">
        <v>463518.82</v>
      </c>
      <c r="M20" s="107" t="n">
        <v>433456.35</v>
      </c>
      <c r="N20" s="107" t="n">
        <v>443581.71</v>
      </c>
      <c r="O20" s="36" t="n">
        <f aca="false">SUM(C20:N20)</f>
        <v>4745535.26</v>
      </c>
    </row>
    <row r="21" customFormat="false" ht="15" hidden="false" customHeight="false" outlineLevel="0" collapsed="false">
      <c r="A21" s="22" t="s">
        <v>2205</v>
      </c>
      <c r="B21" s="23"/>
      <c r="C21" s="23"/>
      <c r="D21" s="23"/>
      <c r="E21" s="23"/>
      <c r="F21" s="23"/>
      <c r="G21" s="23"/>
      <c r="H21" s="23"/>
      <c r="I21" s="23"/>
      <c r="J21" s="23"/>
      <c r="K21" s="23"/>
      <c r="L21" s="23"/>
      <c r="M21" s="23"/>
      <c r="N21" s="23"/>
      <c r="O21" s="23"/>
    </row>
    <row r="22" customFormat="false" ht="15" hidden="false" customHeight="false" outlineLevel="0" collapsed="false">
      <c r="A22" s="0" t="s">
        <v>2206</v>
      </c>
      <c r="B22" s="56" t="s">
        <v>2207</v>
      </c>
      <c r="C22" s="137" t="n">
        <v>11904.6</v>
      </c>
      <c r="D22" s="137" t="n">
        <v>12550.6</v>
      </c>
      <c r="E22" s="137" t="n">
        <v>12907.1</v>
      </c>
      <c r="F22" s="137" t="n">
        <v>13774.6</v>
      </c>
      <c r="G22" s="137" t="n">
        <v>14438.4</v>
      </c>
      <c r="H22" s="137" t="n">
        <v>15311.8</v>
      </c>
      <c r="I22" s="137" t="n">
        <v>15669.5</v>
      </c>
      <c r="J22" s="137" t="n">
        <v>16096.6</v>
      </c>
      <c r="K22" s="137" t="n">
        <v>16532.3</v>
      </c>
      <c r="L22" s="137" t="n">
        <v>17750</v>
      </c>
      <c r="M22" s="137" t="n">
        <v>17760.2</v>
      </c>
      <c r="N22" s="137" t="n">
        <v>18071.2</v>
      </c>
      <c r="O22" s="155" t="n">
        <f aca="false">SUM(C22:N22)</f>
        <v>182766.9</v>
      </c>
    </row>
    <row r="23" customFormat="false" ht="15" hidden="false" customHeight="false" outlineLevel="0" collapsed="false">
      <c r="A23" s="0" t="s">
        <v>2208</v>
      </c>
      <c r="B23" s="56" t="s">
        <v>2209</v>
      </c>
      <c r="C23" s="137" t="n">
        <v>11456.8</v>
      </c>
      <c r="D23" s="137" t="n">
        <v>11904.1</v>
      </c>
      <c r="E23" s="137" t="n">
        <v>12219.9</v>
      </c>
      <c r="F23" s="137" t="n">
        <v>12920.6</v>
      </c>
      <c r="G23" s="137" t="n">
        <v>13477.8</v>
      </c>
      <c r="H23" s="137" t="n">
        <v>14227.3</v>
      </c>
      <c r="I23" s="137" t="n">
        <v>14474.2</v>
      </c>
      <c r="J23" s="137" t="n">
        <v>15019.9</v>
      </c>
      <c r="K23" s="137" t="n">
        <v>15383.3</v>
      </c>
      <c r="L23" s="137" t="n">
        <v>16130.5</v>
      </c>
      <c r="M23" s="137" t="n">
        <v>16109.1</v>
      </c>
      <c r="N23" s="137" t="n">
        <v>16479</v>
      </c>
      <c r="O23" s="155" t="n">
        <f aca="false">SUM(C23:N23)</f>
        <v>169802.5</v>
      </c>
    </row>
    <row r="24" customFormat="false" ht="15" hidden="false" customHeight="false" outlineLevel="0" collapsed="false">
      <c r="A24" s="0" t="s">
        <v>2210</v>
      </c>
      <c r="B24" s="56" t="s">
        <v>2211</v>
      </c>
      <c r="C24" s="137" t="n">
        <v>4384.2</v>
      </c>
      <c r="D24" s="137" t="n">
        <v>4516.5</v>
      </c>
      <c r="E24" s="137" t="n">
        <v>4682.8</v>
      </c>
      <c r="F24" s="137" t="n">
        <v>4961.1</v>
      </c>
      <c r="G24" s="137" t="n">
        <v>5160</v>
      </c>
      <c r="H24" s="137" t="n">
        <v>5567</v>
      </c>
      <c r="I24" s="137" t="n">
        <v>5659.9</v>
      </c>
      <c r="J24" s="137" t="n">
        <v>5947.3</v>
      </c>
      <c r="K24" s="137" t="n">
        <v>6126.1</v>
      </c>
      <c r="L24" s="137" t="n">
        <v>6558.7</v>
      </c>
      <c r="M24" s="137" t="n">
        <v>6623.1</v>
      </c>
      <c r="N24" s="137" t="n">
        <v>6757.2</v>
      </c>
      <c r="O24" s="155" t="n">
        <f aca="false">SUM(C24:N24)</f>
        <v>66943.9</v>
      </c>
    </row>
    <row r="25" customFormat="false" ht="15" hidden="false" customHeight="false" outlineLevel="0" collapsed="false">
      <c r="A25" s="0" t="s">
        <v>2212</v>
      </c>
      <c r="B25" s="56" t="s">
        <v>2213</v>
      </c>
      <c r="C25" s="107" t="n">
        <v>4751</v>
      </c>
      <c r="D25" s="107" t="n">
        <v>4968.3</v>
      </c>
      <c r="E25" s="107" t="n">
        <v>5105.3</v>
      </c>
      <c r="F25" s="107" t="n">
        <v>5421.2</v>
      </c>
      <c r="G25" s="107" t="n">
        <v>5667.2</v>
      </c>
      <c r="H25" s="107" t="n">
        <v>5997.5</v>
      </c>
      <c r="I25" s="107" t="n">
        <v>6118</v>
      </c>
      <c r="J25" s="107" t="n">
        <v>6320.7</v>
      </c>
      <c r="K25" s="107" t="n">
        <v>6482.7</v>
      </c>
      <c r="L25" s="107" t="n">
        <v>6874.9</v>
      </c>
      <c r="M25" s="107" t="n">
        <v>6873.3</v>
      </c>
      <c r="N25" s="107" t="n">
        <v>7013.3</v>
      </c>
      <c r="O25" s="36" t="n">
        <f aca="false">SUM(C25:N25)</f>
        <v>71593.4</v>
      </c>
    </row>
    <row r="26" customFormat="false" ht="15" hidden="false" customHeight="false" outlineLevel="0" collapsed="false">
      <c r="A26" s="0" t="s">
        <v>2214</v>
      </c>
      <c r="B26" s="56" t="s">
        <v>2215</v>
      </c>
      <c r="C26" s="107" t="n">
        <v>1600</v>
      </c>
      <c r="D26" s="107" t="n">
        <v>1600</v>
      </c>
      <c r="E26" s="107" t="n">
        <v>1600</v>
      </c>
      <c r="F26" s="107" t="n">
        <v>1600</v>
      </c>
      <c r="G26" s="107" t="n">
        <v>1600</v>
      </c>
      <c r="H26" s="107" t="n">
        <v>1346.5</v>
      </c>
      <c r="I26" s="107" t="n">
        <v>1470.8</v>
      </c>
      <c r="J26" s="107" t="n">
        <v>1268.1</v>
      </c>
      <c r="K26" s="107" t="n">
        <v>861.3</v>
      </c>
      <c r="L26" s="107" t="n">
        <v>713.9</v>
      </c>
      <c r="M26" s="107" t="n">
        <v>470.7</v>
      </c>
      <c r="N26" s="107" t="n">
        <v>575.5</v>
      </c>
      <c r="O26" s="36" t="n">
        <f aca="false">SUM(C26:N26)</f>
        <v>14706.8</v>
      </c>
    </row>
    <row r="27" customFormat="false" ht="15" hidden="false" customHeight="false" outlineLevel="0" collapsed="false">
      <c r="A27" s="0" t="s">
        <v>2216</v>
      </c>
      <c r="B27" s="56" t="s">
        <v>2217</v>
      </c>
      <c r="C27" s="107" t="n">
        <v>8928</v>
      </c>
      <c r="D27" s="107" t="n">
        <v>8064</v>
      </c>
      <c r="E27" s="107" t="n">
        <v>8928</v>
      </c>
      <c r="F27" s="107" t="n">
        <v>8640</v>
      </c>
      <c r="G27" s="107" t="n">
        <v>8928</v>
      </c>
      <c r="H27" s="107" t="n">
        <v>8640</v>
      </c>
      <c r="I27" s="107" t="n">
        <v>8928</v>
      </c>
      <c r="J27" s="107" t="n">
        <v>8928</v>
      </c>
      <c r="K27" s="107" t="n">
        <v>8640</v>
      </c>
      <c r="L27" s="107" t="n">
        <v>8928</v>
      </c>
      <c r="M27" s="107" t="n">
        <v>8640</v>
      </c>
      <c r="N27" s="107" t="n">
        <v>8928</v>
      </c>
      <c r="O27" s="36" t="n">
        <f aca="false">SUM(C27:N27)</f>
        <v>105120</v>
      </c>
    </row>
    <row r="28" customFormat="false" ht="15" hidden="false" customHeight="false" outlineLevel="0" collapsed="false">
      <c r="A28" s="0" t="s">
        <v>2218</v>
      </c>
      <c r="B28" s="56" t="s">
        <v>2219</v>
      </c>
      <c r="C28" s="107" t="n">
        <v>0</v>
      </c>
      <c r="D28" s="107" t="n">
        <v>0</v>
      </c>
      <c r="E28" s="107" t="n">
        <v>0</v>
      </c>
      <c r="F28" s="107" t="n">
        <v>0</v>
      </c>
      <c r="G28" s="107" t="n">
        <v>0</v>
      </c>
      <c r="H28" s="107" t="n">
        <v>0</v>
      </c>
      <c r="I28" s="107" t="n">
        <v>0</v>
      </c>
      <c r="J28" s="107" t="n">
        <v>0</v>
      </c>
      <c r="K28" s="107" t="n">
        <v>0</v>
      </c>
      <c r="L28" s="107" t="n">
        <v>0</v>
      </c>
      <c r="M28" s="107" t="n">
        <v>0</v>
      </c>
      <c r="N28" s="107" t="n">
        <v>0</v>
      </c>
      <c r="O28" s="36" t="n">
        <f aca="false">SUM(C28:N28)</f>
        <v>0</v>
      </c>
    </row>
    <row r="29" customFormat="false" ht="15" hidden="false" customHeight="false" outlineLevel="0" collapsed="false">
      <c r="A29" s="0" t="s">
        <v>2074</v>
      </c>
      <c r="B29" s="56" t="s">
        <v>2220</v>
      </c>
      <c r="C29" s="107" t="n">
        <v>26900.7</v>
      </c>
      <c r="D29" s="107" t="n">
        <v>27834.5</v>
      </c>
      <c r="E29" s="107" t="n">
        <v>28712.1</v>
      </c>
      <c r="F29" s="107" t="n">
        <v>30387.9</v>
      </c>
      <c r="G29" s="107" t="n">
        <v>31653.5</v>
      </c>
      <c r="H29" s="107" t="n">
        <v>33773.8</v>
      </c>
      <c r="I29" s="107" t="n">
        <v>34348.8</v>
      </c>
      <c r="J29" s="107" t="n">
        <v>35865.8</v>
      </c>
      <c r="K29" s="107" t="n">
        <v>36838.2</v>
      </c>
      <c r="L29" s="107" t="n">
        <v>39032.5</v>
      </c>
      <c r="M29" s="107" t="n">
        <v>39200.3</v>
      </c>
      <c r="N29" s="107" t="n">
        <v>40046.4</v>
      </c>
      <c r="O29" s="36" t="n">
        <f aca="false">SUM(C29:N29)</f>
        <v>404594.5</v>
      </c>
    </row>
    <row r="30" customFormat="false" ht="15" hidden="false" customHeight="false" outlineLevel="0" collapsed="false">
      <c r="A30" s="0" t="s">
        <v>2078</v>
      </c>
      <c r="B30" s="56" t="s">
        <v>2221</v>
      </c>
      <c r="C30" s="107" t="n">
        <v>2976.1</v>
      </c>
      <c r="D30" s="107" t="n">
        <v>3137.7</v>
      </c>
      <c r="E30" s="107" t="n">
        <v>3226.8</v>
      </c>
      <c r="F30" s="107" t="n">
        <v>3443.6</v>
      </c>
      <c r="G30" s="107" t="n">
        <v>3609.6</v>
      </c>
      <c r="H30" s="107" t="n">
        <v>3828</v>
      </c>
      <c r="I30" s="107" t="n">
        <v>3917.4</v>
      </c>
      <c r="J30" s="107" t="n">
        <v>4024.1</v>
      </c>
      <c r="K30" s="107" t="n">
        <v>4133.1</v>
      </c>
      <c r="L30" s="107" t="n">
        <v>4437.5</v>
      </c>
      <c r="M30" s="107" t="n">
        <v>4440</v>
      </c>
      <c r="N30" s="107" t="n">
        <v>4517.8</v>
      </c>
      <c r="O30" s="36" t="n">
        <f aca="false">SUM(C30:N30)</f>
        <v>45691.7</v>
      </c>
    </row>
    <row r="31" customFormat="false" ht="15" hidden="false" customHeight="false" outlineLevel="0" collapsed="false">
      <c r="A31" s="0" t="s">
        <v>2222</v>
      </c>
      <c r="B31" s="56" t="s">
        <v>2223</v>
      </c>
      <c r="C31" s="134" t="n">
        <v>1.0353</v>
      </c>
      <c r="D31" s="134" t="n">
        <v>1.0412</v>
      </c>
      <c r="E31" s="134" t="n">
        <v>1.0806</v>
      </c>
      <c r="F31" s="134" t="n">
        <v>1.121</v>
      </c>
      <c r="G31" s="134" t="n">
        <v>1.1278</v>
      </c>
      <c r="H31" s="134" t="n">
        <v>1.1515</v>
      </c>
      <c r="I31" s="134" t="n">
        <v>1.1677</v>
      </c>
      <c r="J31" s="134" t="n">
        <v>1.1631</v>
      </c>
      <c r="K31" s="134" t="n">
        <v>1.1732</v>
      </c>
      <c r="L31" s="134" t="n">
        <v>1.1631</v>
      </c>
      <c r="M31" s="134" t="n">
        <v>1.1561</v>
      </c>
      <c r="N31" s="134" t="n">
        <v>1.1708</v>
      </c>
      <c r="O31" s="156" t="n">
        <f aca="false">AVERAGE(C31:N31)</f>
        <v>1.12928333333333</v>
      </c>
    </row>
    <row r="32" customFormat="false" ht="15" hidden="false" customHeight="false" outlineLevel="0" collapsed="false">
      <c r="A32" s="0" t="s">
        <v>2224</v>
      </c>
      <c r="B32" s="56" t="s">
        <v>2225</v>
      </c>
      <c r="C32" s="107" t="n">
        <v>13802.38</v>
      </c>
      <c r="D32" s="107" t="n">
        <v>12106.03</v>
      </c>
      <c r="E32" s="107" t="n">
        <v>13223.76</v>
      </c>
      <c r="F32" s="107" t="n">
        <v>12246.21</v>
      </c>
      <c r="G32" s="107" t="n">
        <v>12670.33</v>
      </c>
      <c r="H32" s="107" t="n">
        <v>12351.12</v>
      </c>
      <c r="I32" s="107" t="n">
        <v>12453.15</v>
      </c>
      <c r="J32" s="107" t="n">
        <v>12842.24</v>
      </c>
      <c r="K32" s="107" t="n">
        <v>12929.14</v>
      </c>
      <c r="L32" s="107" t="n">
        <v>13771.38</v>
      </c>
      <c r="M32" s="107" t="n">
        <v>13779.2</v>
      </c>
      <c r="N32" s="107" t="n">
        <v>13911.33</v>
      </c>
      <c r="O32" s="36" t="n">
        <f aca="false">SUM(C32:N32)</f>
        <v>156086.27</v>
      </c>
    </row>
    <row r="33" customFormat="false" ht="15" hidden="false" customHeight="false" outlineLevel="0" collapsed="false">
      <c r="A33" s="0" t="s">
        <v>2226</v>
      </c>
      <c r="B33" s="56" t="s">
        <v>2227</v>
      </c>
      <c r="C33" s="107" t="n">
        <v>3013.62</v>
      </c>
      <c r="D33" s="107" t="n">
        <v>2996.54</v>
      </c>
      <c r="E33" s="107" t="n">
        <v>2887.28</v>
      </c>
      <c r="F33" s="107" t="n">
        <v>2783.23</v>
      </c>
      <c r="G33" s="107" t="n">
        <v>2766.45</v>
      </c>
      <c r="H33" s="107" t="n">
        <v>2280.23</v>
      </c>
      <c r="I33" s="107" t="n">
        <v>2456.16</v>
      </c>
      <c r="J33" s="107" t="n">
        <v>2126.03</v>
      </c>
      <c r="K33" s="107" t="n">
        <v>1431.58</v>
      </c>
      <c r="L33" s="107" t="n">
        <v>1196.9</v>
      </c>
      <c r="M33" s="107" t="n">
        <v>793.94</v>
      </c>
      <c r="N33" s="107" t="n">
        <v>958.51</v>
      </c>
      <c r="O33" s="36" t="n">
        <f aca="false">SUM(C33:N33)</f>
        <v>25690.47</v>
      </c>
    </row>
    <row r="34" customFormat="false" ht="15" hidden="false" customHeight="false" outlineLevel="0" collapsed="false">
      <c r="A34" s="0" t="s">
        <v>2228</v>
      </c>
      <c r="B34" s="56" t="s">
        <v>2229</v>
      </c>
      <c r="C34" s="107" t="n">
        <v>0</v>
      </c>
      <c r="D34" s="107" t="n">
        <v>0</v>
      </c>
      <c r="E34" s="107" t="n">
        <v>0</v>
      </c>
      <c r="F34" s="107" t="n">
        <v>0</v>
      </c>
      <c r="G34" s="107" t="n">
        <v>0</v>
      </c>
      <c r="H34" s="107" t="n">
        <v>0</v>
      </c>
      <c r="I34" s="107" t="n">
        <v>0</v>
      </c>
      <c r="J34" s="107" t="n">
        <v>0</v>
      </c>
      <c r="K34" s="107" t="n">
        <v>0</v>
      </c>
      <c r="L34" s="107" t="n">
        <v>0</v>
      </c>
      <c r="M34" s="107" t="n">
        <v>0</v>
      </c>
      <c r="N34" s="107" t="n">
        <v>0</v>
      </c>
      <c r="O34" s="36" t="n">
        <f aca="false">SUM(C34:N34)</f>
        <v>0</v>
      </c>
    </row>
    <row r="35" customFormat="false" ht="15" hidden="false" customHeight="false" outlineLevel="0" collapsed="false">
      <c r="A35" s="0" t="s">
        <v>2230</v>
      </c>
      <c r="B35" s="56" t="s">
        <v>2231</v>
      </c>
      <c r="C35" s="107" t="n">
        <v>50249.23</v>
      </c>
      <c r="D35" s="107" t="n">
        <v>52167.97</v>
      </c>
      <c r="E35" s="107" t="n">
        <v>53357.42</v>
      </c>
      <c r="F35" s="107" t="n">
        <v>55510.4</v>
      </c>
      <c r="G35" s="107" t="n">
        <v>56249.26</v>
      </c>
      <c r="H35" s="107" t="n">
        <v>60239.9</v>
      </c>
      <c r="I35" s="107" t="n">
        <v>59266.77</v>
      </c>
      <c r="J35" s="107" t="n">
        <v>62595.98</v>
      </c>
      <c r="K35" s="107" t="n">
        <v>63814.16</v>
      </c>
      <c r="L35" s="107" t="n">
        <v>68650.56</v>
      </c>
      <c r="M35" s="107" t="n">
        <v>68276.38</v>
      </c>
      <c r="N35" s="107" t="n">
        <v>68856.47</v>
      </c>
      <c r="O35" s="36" t="n">
        <f aca="false">SUM(C35:N35)</f>
        <v>719234.5</v>
      </c>
    </row>
    <row r="36" customFormat="false" ht="15" hidden="false" customHeight="false" outlineLevel="0" collapsed="false">
      <c r="A36" s="0" t="s">
        <v>2232</v>
      </c>
      <c r="B36" s="56" t="s">
        <v>2233</v>
      </c>
      <c r="C36" s="107" t="n">
        <v>4753.35</v>
      </c>
      <c r="D36" s="107" t="n">
        <v>5102.25</v>
      </c>
      <c r="E36" s="107" t="n">
        <v>5167.56</v>
      </c>
      <c r="F36" s="107" t="n">
        <v>5761.86</v>
      </c>
      <c r="G36" s="107" t="n">
        <v>5696.15</v>
      </c>
      <c r="H36" s="107" t="n">
        <v>6492.59</v>
      </c>
      <c r="I36" s="107" t="n">
        <v>6181.8</v>
      </c>
      <c r="J36" s="107" t="n">
        <v>6249.47</v>
      </c>
      <c r="K36" s="107" t="n">
        <v>6609.35</v>
      </c>
      <c r="L36" s="107" t="n">
        <v>6728.26</v>
      </c>
      <c r="M36" s="107" t="n">
        <v>6996.42</v>
      </c>
      <c r="N36" s="107" t="n">
        <v>7104.97</v>
      </c>
      <c r="O36" s="36" t="n">
        <f aca="false">SUM(C36:N36)</f>
        <v>72844.03</v>
      </c>
    </row>
    <row r="37" customFormat="false" ht="15" hidden="false" customHeight="false" outlineLevel="0" collapsed="false">
      <c r="A37" s="0" t="s">
        <v>2234</v>
      </c>
      <c r="B37" s="56" t="s">
        <v>2235</v>
      </c>
      <c r="C37" s="107" t="n">
        <v>25880.88</v>
      </c>
      <c r="D37" s="107" t="n">
        <v>24699.3</v>
      </c>
      <c r="E37" s="107" t="n">
        <v>24185.63</v>
      </c>
      <c r="F37" s="107" t="n">
        <v>23999.21</v>
      </c>
      <c r="G37" s="107" t="n">
        <v>24152.38</v>
      </c>
      <c r="H37" s="107" t="n">
        <v>23190.49</v>
      </c>
      <c r="I37" s="107" t="n">
        <v>23842.72</v>
      </c>
      <c r="J37" s="107" t="n">
        <v>23349.96</v>
      </c>
      <c r="K37" s="107" t="n">
        <v>23209.97</v>
      </c>
      <c r="L37" s="107" t="n">
        <v>25859.86</v>
      </c>
      <c r="M37" s="107" t="n">
        <v>24822.91</v>
      </c>
      <c r="N37" s="107" t="n">
        <v>24086.26</v>
      </c>
      <c r="O37" s="36" t="n">
        <f aca="false">SUM(C37:N37)</f>
        <v>291279.57</v>
      </c>
    </row>
    <row r="38" customFormat="false" ht="15" hidden="false" customHeight="false" outlineLevel="0" collapsed="false">
      <c r="A38" s="0" t="s">
        <v>2236</v>
      </c>
      <c r="B38" s="56" t="s">
        <v>2237</v>
      </c>
      <c r="C38" s="107" t="n">
        <v>44204.07</v>
      </c>
      <c r="D38" s="107" t="n">
        <v>41441.71</v>
      </c>
      <c r="E38" s="107" t="n">
        <v>43544.59</v>
      </c>
      <c r="F38" s="107" t="n">
        <v>43751.12</v>
      </c>
      <c r="G38" s="107" t="n">
        <v>44648.65</v>
      </c>
      <c r="H38" s="107" t="n">
        <v>43551.85</v>
      </c>
      <c r="I38" s="107" t="n">
        <v>45250.74</v>
      </c>
      <c r="J38" s="107" t="n">
        <v>44567.94</v>
      </c>
      <c r="K38" s="107" t="n">
        <v>44077.94</v>
      </c>
      <c r="L38" s="107" t="n">
        <v>47487.2</v>
      </c>
      <c r="M38" s="107" t="n">
        <v>45545.77</v>
      </c>
      <c r="N38" s="107" t="n">
        <v>45609.79</v>
      </c>
      <c r="O38" s="36" t="n">
        <f aca="false">SUM(C38:N38)</f>
        <v>533681.37</v>
      </c>
    </row>
    <row r="39" customFormat="false" ht="15" hidden="false" customHeight="false" outlineLevel="0" collapsed="false">
      <c r="A39" s="22" t="s">
        <v>2238</v>
      </c>
      <c r="B39" s="23"/>
      <c r="C39" s="23"/>
      <c r="D39" s="23"/>
      <c r="E39" s="23"/>
      <c r="F39" s="23"/>
      <c r="G39" s="23"/>
      <c r="H39" s="23"/>
      <c r="I39" s="23"/>
      <c r="J39" s="23"/>
      <c r="K39" s="23"/>
      <c r="L39" s="23"/>
      <c r="M39" s="23"/>
      <c r="N39" s="23"/>
      <c r="O39" s="23"/>
    </row>
    <row r="40" customFormat="false" ht="15" hidden="false" customHeight="false" outlineLevel="0" collapsed="false">
      <c r="A40" s="0" t="s">
        <v>414</v>
      </c>
      <c r="B40" s="56" t="s">
        <v>2239</v>
      </c>
      <c r="C40" s="107" t="n">
        <v>3694.58</v>
      </c>
      <c r="D40" s="107" t="n">
        <v>3708.2</v>
      </c>
      <c r="E40" s="107" t="n">
        <v>3998.22</v>
      </c>
      <c r="F40" s="107" t="n">
        <v>4186.17</v>
      </c>
      <c r="G40" s="107" t="n">
        <v>4398.83</v>
      </c>
      <c r="H40" s="107" t="n">
        <v>4457.67</v>
      </c>
      <c r="I40" s="107" t="n">
        <v>4474.34</v>
      </c>
      <c r="J40" s="107" t="n">
        <v>4450.64</v>
      </c>
      <c r="K40" s="107" t="n">
        <v>5023.54</v>
      </c>
      <c r="L40" s="107" t="n">
        <v>5267.64</v>
      </c>
      <c r="M40" s="107" t="n">
        <v>5257.97</v>
      </c>
      <c r="N40" s="107" t="n">
        <v>5309.07</v>
      </c>
      <c r="O40" s="36" t="n">
        <f aca="false">SUM(C40:N40)</f>
        <v>54226.87</v>
      </c>
    </row>
    <row r="41" customFormat="false" ht="15" hidden="false" customHeight="false" outlineLevel="0" collapsed="false">
      <c r="A41" s="0" t="s">
        <v>2240</v>
      </c>
      <c r="B41" s="56" t="s">
        <v>2241</v>
      </c>
      <c r="C41" s="107" t="n">
        <v>333664.86</v>
      </c>
      <c r="D41" s="107" t="n">
        <v>337717.47</v>
      </c>
      <c r="E41" s="107" t="n">
        <v>341770.08</v>
      </c>
      <c r="F41" s="107" t="n">
        <v>345822.69</v>
      </c>
      <c r="G41" s="107" t="n">
        <v>349875.3</v>
      </c>
      <c r="H41" s="107" t="n">
        <v>353927.91</v>
      </c>
      <c r="I41" s="107" t="n">
        <v>357980.52</v>
      </c>
      <c r="J41" s="107" t="n">
        <v>362033.13</v>
      </c>
      <c r="K41" s="107" t="n">
        <v>366085.74</v>
      </c>
      <c r="L41" s="107" t="n">
        <v>370138.34</v>
      </c>
      <c r="M41" s="107" t="n">
        <v>374190.95</v>
      </c>
      <c r="N41" s="107" t="n">
        <v>378243.56</v>
      </c>
      <c r="O41" s="36" t="n">
        <f aca="false">SUM(C41:N41)</f>
        <v>4271450.55</v>
      </c>
    </row>
    <row r="42" customFormat="false" ht="15" hidden="false" customHeight="false" outlineLevel="0" collapsed="false">
      <c r="A42" s="0" t="s">
        <v>2242</v>
      </c>
      <c r="B42" s="56" t="s">
        <v>2243</v>
      </c>
      <c r="C42" s="107" t="n">
        <v>55360.48</v>
      </c>
      <c r="D42" s="107" t="n">
        <v>56032.87</v>
      </c>
      <c r="E42" s="107" t="n">
        <v>56705.27</v>
      </c>
      <c r="F42" s="107" t="n">
        <v>57377.66</v>
      </c>
      <c r="G42" s="107" t="n">
        <v>58050.06</v>
      </c>
      <c r="H42" s="107" t="n">
        <v>58722.45</v>
      </c>
      <c r="I42" s="107" t="n">
        <v>59394.85</v>
      </c>
      <c r="J42" s="107" t="n">
        <v>60067.24</v>
      </c>
      <c r="K42" s="107" t="n">
        <v>60739.64</v>
      </c>
      <c r="L42" s="107" t="n">
        <v>61412.03</v>
      </c>
      <c r="M42" s="107" t="n">
        <v>62084.42</v>
      </c>
      <c r="N42" s="107" t="n">
        <v>62756.82</v>
      </c>
      <c r="O42" s="36" t="n">
        <f aca="false">SUM(C42:N42)</f>
        <v>708703.79</v>
      </c>
    </row>
    <row r="43" customFormat="false" ht="15" hidden="false" customHeight="false" outlineLevel="0" collapsed="false">
      <c r="A43" s="0" t="s">
        <v>2244</v>
      </c>
      <c r="B43" s="56" t="s">
        <v>2245</v>
      </c>
      <c r="C43" s="107" t="n">
        <v>93526.29</v>
      </c>
      <c r="D43" s="107" t="n">
        <v>94662.23</v>
      </c>
      <c r="E43" s="107" t="n">
        <v>95798.18</v>
      </c>
      <c r="F43" s="107" t="n">
        <v>96934.13</v>
      </c>
      <c r="G43" s="107" t="n">
        <v>98070.08</v>
      </c>
      <c r="H43" s="107" t="n">
        <v>99206.02</v>
      </c>
      <c r="I43" s="107" t="n">
        <v>100341.97</v>
      </c>
      <c r="J43" s="107" t="n">
        <v>101477.92</v>
      </c>
      <c r="K43" s="107" t="n">
        <v>102613.86</v>
      </c>
      <c r="L43" s="107" t="n">
        <v>103749.81</v>
      </c>
      <c r="M43" s="107" t="n">
        <v>104885.76</v>
      </c>
      <c r="N43" s="107" t="n">
        <v>106021.7</v>
      </c>
      <c r="O43" s="36" t="n">
        <f aca="false">SUM(C43:N43)</f>
        <v>1197287.95</v>
      </c>
    </row>
    <row r="44" customFormat="false" ht="15" hidden="false" customHeight="false" outlineLevel="0" collapsed="false">
      <c r="A44" s="0" t="s">
        <v>2246</v>
      </c>
      <c r="B44" s="56" t="s">
        <v>2247</v>
      </c>
      <c r="C44" s="107" t="n">
        <v>54942.58</v>
      </c>
      <c r="D44" s="107" t="n">
        <v>55609.89</v>
      </c>
      <c r="E44" s="107" t="n">
        <v>56277.21</v>
      </c>
      <c r="F44" s="107" t="n">
        <v>56944.53</v>
      </c>
      <c r="G44" s="107" t="n">
        <v>57611.85</v>
      </c>
      <c r="H44" s="107" t="n">
        <v>58279.17</v>
      </c>
      <c r="I44" s="107" t="n">
        <v>58946.49</v>
      </c>
      <c r="J44" s="107" t="n">
        <v>59613.81</v>
      </c>
      <c r="K44" s="107" t="n">
        <v>60281.13</v>
      </c>
      <c r="L44" s="107" t="n">
        <v>60948.44</v>
      </c>
      <c r="M44" s="107" t="n">
        <v>61615.76</v>
      </c>
      <c r="N44" s="107" t="n">
        <v>62283.08</v>
      </c>
      <c r="O44" s="36" t="n">
        <f aca="false">SUM(C44:N44)</f>
        <v>703353.94</v>
      </c>
    </row>
    <row r="45" customFormat="false" ht="15" hidden="false" customHeight="false" outlineLevel="0" collapsed="false">
      <c r="A45" s="0" t="s">
        <v>2248</v>
      </c>
      <c r="B45" s="56" t="s">
        <v>2249</v>
      </c>
      <c r="C45" s="107" t="n">
        <v>0</v>
      </c>
      <c r="D45" s="107" t="n">
        <v>42025.54</v>
      </c>
      <c r="E45" s="107" t="n">
        <v>14008.51</v>
      </c>
      <c r="F45" s="107" t="n">
        <v>30643.62</v>
      </c>
      <c r="G45" s="107" t="n">
        <v>0</v>
      </c>
      <c r="H45" s="107" t="n">
        <v>41150</v>
      </c>
      <c r="I45" s="107" t="n">
        <v>21012.77</v>
      </c>
      <c r="J45" s="107" t="n">
        <v>12257.45</v>
      </c>
      <c r="K45" s="107" t="n">
        <v>19261.7</v>
      </c>
      <c r="L45" s="107" t="n">
        <v>37647.88</v>
      </c>
      <c r="M45" s="107" t="n">
        <v>14884.04</v>
      </c>
      <c r="N45" s="107" t="n">
        <v>0</v>
      </c>
      <c r="O45" s="36" t="n">
        <f aca="false">SUM(C45:N45)</f>
        <v>232891.51</v>
      </c>
    </row>
    <row r="46" customFormat="false" ht="15" hidden="false" customHeight="false" outlineLevel="0" collapsed="false">
      <c r="A46" s="0" t="s">
        <v>77</v>
      </c>
      <c r="B46" s="56" t="s">
        <v>2250</v>
      </c>
      <c r="C46" s="107" t="n">
        <v>137445.7</v>
      </c>
      <c r="D46" s="107" t="n">
        <v>124573.81</v>
      </c>
      <c r="E46" s="107" t="n">
        <v>151777.15</v>
      </c>
      <c r="F46" s="107" t="n">
        <v>137133.06</v>
      </c>
      <c r="G46" s="107" t="n">
        <v>133542.24</v>
      </c>
      <c r="H46" s="107" t="n">
        <v>149687.93</v>
      </c>
      <c r="I46" s="107" t="n">
        <v>123124.9</v>
      </c>
      <c r="J46" s="107" t="n">
        <v>135361.08</v>
      </c>
      <c r="K46" s="107" t="n">
        <v>135688.37</v>
      </c>
      <c r="L46" s="107" t="n">
        <v>142723.51</v>
      </c>
      <c r="M46" s="107" t="n">
        <v>130471.23</v>
      </c>
      <c r="N46" s="107" t="n">
        <v>135093.41</v>
      </c>
      <c r="O46" s="36" t="n">
        <f aca="false">SUM(C46:N46)</f>
        <v>1636622.39</v>
      </c>
    </row>
    <row r="47" customFormat="false" ht="15" hidden="false" customHeight="false" outlineLevel="0" collapsed="false">
      <c r="A47" s="0" t="s">
        <v>2251</v>
      </c>
      <c r="B47" s="56" t="s">
        <v>2252</v>
      </c>
      <c r="C47" s="107" t="n">
        <v>74476.42</v>
      </c>
      <c r="D47" s="107" t="n">
        <v>74590.28</v>
      </c>
      <c r="E47" s="107" t="n">
        <v>74685.16</v>
      </c>
      <c r="F47" s="107" t="n">
        <v>75570.76</v>
      </c>
      <c r="G47" s="107" t="n">
        <v>76456.35</v>
      </c>
      <c r="H47" s="107" t="n">
        <v>77341.95</v>
      </c>
      <c r="I47" s="107" t="n">
        <v>78227.54</v>
      </c>
      <c r="J47" s="107" t="n">
        <v>79113.14</v>
      </c>
      <c r="K47" s="107" t="n">
        <v>79998.73</v>
      </c>
      <c r="L47" s="107" t="n">
        <v>80884.33</v>
      </c>
      <c r="M47" s="107" t="n">
        <v>81769.92</v>
      </c>
      <c r="N47" s="107" t="n">
        <v>82655.52</v>
      </c>
      <c r="O47" s="36" t="n">
        <f aca="false">SUM(C47:N47)</f>
        <v>935770.1</v>
      </c>
    </row>
    <row r="48" customFormat="false" ht="15" hidden="false" customHeight="false" outlineLevel="0" collapsed="false">
      <c r="A48" s="0" t="s">
        <v>2253</v>
      </c>
      <c r="B48" s="56" t="s">
        <v>2254</v>
      </c>
      <c r="C48" s="107" t="n">
        <v>153740.9</v>
      </c>
      <c r="D48" s="107" t="n">
        <v>153816.62</v>
      </c>
      <c r="E48" s="107" t="n">
        <v>156637.86</v>
      </c>
      <c r="F48" s="107" t="n">
        <v>159081.51</v>
      </c>
      <c r="G48" s="107" t="n">
        <v>161217.01</v>
      </c>
      <c r="H48" s="107" t="n">
        <v>165454.22</v>
      </c>
      <c r="I48" s="107" t="n">
        <v>165613.63</v>
      </c>
      <c r="J48" s="107" t="n">
        <v>169555.53</v>
      </c>
      <c r="K48" s="107" t="n">
        <v>172325.8</v>
      </c>
      <c r="L48" s="107" t="n">
        <v>181689.73</v>
      </c>
      <c r="M48" s="107" t="n">
        <v>181217.3</v>
      </c>
      <c r="N48" s="107" t="n">
        <v>182024.92</v>
      </c>
      <c r="O48" s="36" t="n">
        <f aca="false">SUM(C48:N48)</f>
        <v>2002375.03</v>
      </c>
    </row>
    <row r="49" customFormat="false" ht="15" hidden="false" customHeight="false" outlineLevel="0" collapsed="false">
      <c r="A49" s="0" t="s">
        <v>2255</v>
      </c>
      <c r="B49" s="56" t="s">
        <v>2256</v>
      </c>
      <c r="C49" s="107" t="n">
        <v>175822.9</v>
      </c>
      <c r="D49" s="107" t="n">
        <v>165000.7</v>
      </c>
      <c r="E49" s="107" t="n">
        <v>193155.2</v>
      </c>
      <c r="F49" s="107" t="n">
        <v>177274.29</v>
      </c>
      <c r="G49" s="107" t="n">
        <v>195822.61</v>
      </c>
      <c r="H49" s="107" t="n">
        <v>260767.33</v>
      </c>
      <c r="I49" s="107" t="n">
        <v>210994.06</v>
      </c>
      <c r="J49" s="107" t="n">
        <v>254886.24</v>
      </c>
      <c r="K49" s="107" t="n">
        <v>313811.97</v>
      </c>
      <c r="L49" s="107" t="n">
        <v>281829.09</v>
      </c>
      <c r="M49" s="107" t="n">
        <v>252239.05</v>
      </c>
      <c r="N49" s="107" t="n">
        <v>261556.79</v>
      </c>
      <c r="O49" s="36" t="n">
        <f aca="false">SUM(C49:N49)</f>
        <v>2743160.23</v>
      </c>
    </row>
    <row r="50" customFormat="false" ht="15" hidden="false" customHeight="false" outlineLevel="0" collapsed="false">
      <c r="A50" s="0" t="s">
        <v>392</v>
      </c>
      <c r="B50" s="56" t="s">
        <v>2257</v>
      </c>
      <c r="C50" s="107" t="n">
        <v>-372293.73</v>
      </c>
      <c r="D50" s="107" t="n">
        <v>-417994.5</v>
      </c>
      <c r="E50" s="107" t="n">
        <v>-394678.05</v>
      </c>
      <c r="F50" s="107" t="n">
        <v>-417416.21</v>
      </c>
      <c r="G50" s="107" t="n">
        <v>-369586.96</v>
      </c>
      <c r="H50" s="107" t="n">
        <v>-366421.98</v>
      </c>
      <c r="I50" s="107" t="n">
        <v>-374641.21</v>
      </c>
      <c r="J50" s="107" t="n">
        <v>-338870.04</v>
      </c>
      <c r="K50" s="107" t="n">
        <v>-291551.68</v>
      </c>
      <c r="L50" s="107" t="n">
        <v>-353691.46</v>
      </c>
      <c r="M50" s="107" t="n">
        <v>-352832.71</v>
      </c>
      <c r="N50" s="107" t="n">
        <v>-338387.95</v>
      </c>
      <c r="O50" s="36" t="n">
        <f aca="false">SUM(C50:N50)</f>
        <v>-4388366.48</v>
      </c>
    </row>
    <row r="51" customFormat="false" ht="15" hidden="false" customHeight="false" outlineLevel="0" collapsed="false">
      <c r="A51" s="0" t="s">
        <v>2258</v>
      </c>
      <c r="B51" s="56" t="s">
        <v>2259</v>
      </c>
      <c r="C51" s="107" t="n">
        <v>-469604</v>
      </c>
      <c r="D51" s="107" t="n">
        <v>-517367</v>
      </c>
      <c r="E51" s="107" t="n">
        <v>-495291</v>
      </c>
      <c r="F51" s="107" t="n">
        <v>-481434</v>
      </c>
      <c r="G51" s="107" t="n">
        <v>-457915</v>
      </c>
      <c r="H51" s="107" t="n">
        <v>-440835</v>
      </c>
      <c r="I51" s="107" t="n">
        <v>-474700</v>
      </c>
      <c r="J51" s="107" t="n">
        <v>-434681</v>
      </c>
      <c r="K51" s="107" t="n">
        <v>229420</v>
      </c>
      <c r="L51" s="107" t="n">
        <v>-411847</v>
      </c>
      <c r="M51" s="107" t="n">
        <v>-416413</v>
      </c>
      <c r="N51" s="107" t="n">
        <v>-413982</v>
      </c>
      <c r="O51" s="36" t="n">
        <f aca="false">SUM(C51:N51)</f>
        <v>-4784649</v>
      </c>
    </row>
    <row r="52" customFormat="false" ht="15" hidden="false" customHeight="false" outlineLevel="0" collapsed="false">
      <c r="A52" s="0" t="s">
        <v>2260</v>
      </c>
      <c r="B52" s="56" t="s">
        <v>2261</v>
      </c>
      <c r="C52" s="137" t="n">
        <v>61.8</v>
      </c>
      <c r="D52" s="137" t="n">
        <v>62.5</v>
      </c>
      <c r="E52" s="137" t="n">
        <v>63.2</v>
      </c>
      <c r="F52" s="137" t="n">
        <v>64</v>
      </c>
      <c r="G52" s="137" t="n">
        <v>64.8</v>
      </c>
      <c r="H52" s="137" t="n">
        <v>65.5</v>
      </c>
      <c r="I52" s="137" t="n">
        <v>66.2</v>
      </c>
      <c r="J52" s="137" t="n">
        <v>67</v>
      </c>
      <c r="K52" s="137" t="n">
        <v>67.8</v>
      </c>
      <c r="L52" s="137" t="n">
        <v>68.5</v>
      </c>
      <c r="M52" s="137" t="n">
        <v>69.2</v>
      </c>
      <c r="N52" s="137" t="n">
        <v>70</v>
      </c>
    </row>
    <row r="54" customFormat="false" ht="15" hidden="false" customHeight="false" outlineLevel="0" collapsed="false">
      <c r="A54" s="22" t="s">
        <v>2262</v>
      </c>
      <c r="B54" s="23"/>
      <c r="C54" s="23"/>
      <c r="D54" s="23"/>
      <c r="E54" s="23"/>
      <c r="F54" s="23"/>
      <c r="G54" s="23"/>
      <c r="H54" s="23"/>
      <c r="I54" s="23"/>
      <c r="J54" s="23"/>
      <c r="K54" s="23"/>
      <c r="L54" s="23"/>
      <c r="M54" s="23"/>
      <c r="N54" s="23"/>
      <c r="O54" s="23"/>
    </row>
    <row r="55" customFormat="false" ht="15" hidden="false" customHeight="false" outlineLevel="0" collapsed="false">
      <c r="A55" s="0" t="s">
        <v>890</v>
      </c>
      <c r="B55" s="56" t="s">
        <v>2263</v>
      </c>
      <c r="C55" s="107" t="n">
        <v>26894.73</v>
      </c>
      <c r="D55" s="107" t="n">
        <v>26876.39</v>
      </c>
      <c r="E55" s="107" t="n">
        <v>27272.05</v>
      </c>
      <c r="F55" s="107" t="n">
        <v>26502.86</v>
      </c>
      <c r="G55" s="107" t="n">
        <v>27925.1</v>
      </c>
      <c r="H55" s="107" t="n">
        <v>28589</v>
      </c>
      <c r="I55" s="107" t="n">
        <v>29883.25</v>
      </c>
      <c r="J55" s="107" t="n">
        <v>30818.27</v>
      </c>
      <c r="K55" s="107" t="n">
        <v>30830.02</v>
      </c>
      <c r="L55" s="107" t="n">
        <v>30975.49</v>
      </c>
      <c r="M55" s="107" t="n">
        <v>28980.27</v>
      </c>
      <c r="N55" s="107" t="n">
        <v>30464.04</v>
      </c>
      <c r="O55" s="36" t="n">
        <f aca="false">SUM(C55:N55)</f>
        <v>346011.47</v>
      </c>
    </row>
    <row r="56" customFormat="false" ht="15" hidden="false" customHeight="false" outlineLevel="0" collapsed="false">
      <c r="A56" s="0" t="s">
        <v>892</v>
      </c>
      <c r="B56" s="56" t="s">
        <v>2264</v>
      </c>
      <c r="C56" s="107" t="n">
        <v>14867.67</v>
      </c>
      <c r="D56" s="107" t="n">
        <v>14577.97</v>
      </c>
      <c r="E56" s="107" t="n">
        <v>13853.5</v>
      </c>
      <c r="F56" s="107" t="n">
        <v>14267.47</v>
      </c>
      <c r="G56" s="107" t="n">
        <v>14911.9</v>
      </c>
      <c r="H56" s="107" t="n">
        <v>15354.52</v>
      </c>
      <c r="I56" s="107" t="n">
        <v>15341.01</v>
      </c>
      <c r="J56" s="107" t="n">
        <v>15099.27</v>
      </c>
      <c r="K56" s="107" t="n">
        <v>14754.34</v>
      </c>
      <c r="L56" s="107" t="n">
        <v>16138.38</v>
      </c>
      <c r="M56" s="107" t="n">
        <v>16483.97</v>
      </c>
      <c r="N56" s="107" t="n">
        <v>15697.01</v>
      </c>
      <c r="O56" s="36" t="n">
        <f aca="false">SUM(C56:N56)</f>
        <v>181347.01</v>
      </c>
    </row>
    <row r="57" customFormat="false" ht="15" hidden="false" customHeight="false" outlineLevel="0" collapsed="false">
      <c r="A57" s="0" t="s">
        <v>893</v>
      </c>
      <c r="B57" s="56" t="s">
        <v>2265</v>
      </c>
      <c r="C57" s="107" t="n">
        <v>24290.16</v>
      </c>
      <c r="D57" s="107" t="n">
        <v>23627.37</v>
      </c>
      <c r="E57" s="107" t="n">
        <v>22697.35</v>
      </c>
      <c r="F57" s="107" t="n">
        <v>23344.07</v>
      </c>
      <c r="G57" s="107" t="n">
        <v>26340.8</v>
      </c>
      <c r="H57" s="107" t="n">
        <v>27003.97</v>
      </c>
      <c r="I57" s="107" t="n">
        <v>27524.98</v>
      </c>
      <c r="J57" s="107" t="n">
        <v>27508.01</v>
      </c>
      <c r="K57" s="107" t="n">
        <v>25913.41</v>
      </c>
      <c r="L57" s="107" t="n">
        <v>25569.46</v>
      </c>
      <c r="M57" s="107" t="n">
        <v>24281.05</v>
      </c>
      <c r="N57" s="107" t="n">
        <v>24425.69</v>
      </c>
      <c r="O57" s="36" t="n">
        <f aca="false">SUM(C57:N57)</f>
        <v>302526.32</v>
      </c>
    </row>
    <row r="58" customFormat="false" ht="15" hidden="false" customHeight="false" outlineLevel="0" collapsed="false">
      <c r="A58" s="0" t="s">
        <v>894</v>
      </c>
      <c r="B58" s="56" t="s">
        <v>2266</v>
      </c>
      <c r="C58" s="107" t="n">
        <v>12908.77</v>
      </c>
      <c r="D58" s="107" t="n">
        <v>12194.39</v>
      </c>
      <c r="E58" s="107" t="n">
        <v>12691.89</v>
      </c>
      <c r="F58" s="107" t="n">
        <v>12987.69</v>
      </c>
      <c r="G58" s="107" t="n">
        <v>12404.49</v>
      </c>
      <c r="H58" s="107" t="n">
        <v>12211.52</v>
      </c>
      <c r="I58" s="107" t="n">
        <v>13375.63</v>
      </c>
      <c r="J58" s="107" t="n">
        <v>12699.13</v>
      </c>
      <c r="K58" s="107" t="n">
        <v>12604.59</v>
      </c>
      <c r="L58" s="107" t="n">
        <v>12764.76</v>
      </c>
      <c r="M58" s="107" t="n">
        <v>12756.57</v>
      </c>
      <c r="N58" s="107" t="n">
        <v>13482.78</v>
      </c>
      <c r="O58" s="36" t="n">
        <f aca="false">SUM(C58:N58)</f>
        <v>153082.21</v>
      </c>
    </row>
    <row r="59" customFormat="false" ht="15" hidden="false" customHeight="false" outlineLevel="0" collapsed="false">
      <c r="A59" s="0" t="s">
        <v>895</v>
      </c>
      <c r="B59" s="56" t="s">
        <v>2267</v>
      </c>
      <c r="C59" s="107" t="n">
        <v>13737.88</v>
      </c>
      <c r="D59" s="107" t="n">
        <v>12857.69</v>
      </c>
      <c r="E59" s="107" t="n">
        <v>13884.29</v>
      </c>
      <c r="F59" s="107" t="n">
        <v>14380.9</v>
      </c>
      <c r="G59" s="107" t="n">
        <v>14607.98</v>
      </c>
      <c r="H59" s="107" t="n">
        <v>15531.08</v>
      </c>
      <c r="I59" s="107" t="n">
        <v>15993.28</v>
      </c>
      <c r="J59" s="107" t="n">
        <v>15549.15</v>
      </c>
      <c r="K59" s="107" t="n">
        <v>16433.73</v>
      </c>
      <c r="L59" s="107" t="n">
        <v>16833.14</v>
      </c>
      <c r="M59" s="107" t="n">
        <v>15658.44</v>
      </c>
      <c r="N59" s="107" t="n">
        <v>15974.95</v>
      </c>
      <c r="O59" s="36" t="n">
        <f aca="false">SUM(C59:N59)</f>
        <v>181442.51</v>
      </c>
    </row>
    <row r="60" customFormat="false" ht="15" hidden="false" customHeight="false" outlineLevel="0" collapsed="false">
      <c r="A60" s="0" t="s">
        <v>896</v>
      </c>
      <c r="B60" s="56" t="s">
        <v>2268</v>
      </c>
      <c r="C60" s="107" t="n">
        <v>14175.4</v>
      </c>
      <c r="D60" s="107" t="n">
        <v>14687.41</v>
      </c>
      <c r="E60" s="107" t="n">
        <v>14180.96</v>
      </c>
      <c r="F60" s="107" t="n">
        <v>13828.39</v>
      </c>
      <c r="G60" s="107" t="n">
        <v>14616.25</v>
      </c>
      <c r="H60" s="107" t="n">
        <v>16033.19</v>
      </c>
      <c r="I60" s="107" t="n">
        <v>14223.49</v>
      </c>
      <c r="J60" s="107" t="n">
        <v>14418.51</v>
      </c>
      <c r="K60" s="107" t="n">
        <v>14506.23</v>
      </c>
      <c r="L60" s="107" t="n">
        <v>15234.26</v>
      </c>
      <c r="M60" s="107" t="n">
        <v>15523.67</v>
      </c>
      <c r="N60" s="107" t="n">
        <v>15803.33</v>
      </c>
      <c r="O60" s="36" t="n">
        <f aca="false">SUM(C60:N60)</f>
        <v>177231.09</v>
      </c>
    </row>
    <row r="61" customFormat="false" ht="15" hidden="false" customHeight="false" outlineLevel="0" collapsed="false">
      <c r="A61" s="0" t="s">
        <v>897</v>
      </c>
      <c r="B61" s="56" t="s">
        <v>2269</v>
      </c>
      <c r="C61" s="107" t="n">
        <v>9349.14</v>
      </c>
      <c r="D61" s="107" t="n">
        <v>9630.24</v>
      </c>
      <c r="E61" s="107" t="n">
        <v>9676.7</v>
      </c>
      <c r="F61" s="107" t="n">
        <v>9778.56</v>
      </c>
      <c r="G61" s="107" t="n">
        <v>10523.4</v>
      </c>
      <c r="H61" s="107" t="n">
        <v>11064.13</v>
      </c>
      <c r="I61" s="107" t="n">
        <v>11051.52</v>
      </c>
      <c r="J61" s="107" t="n">
        <v>11663.93</v>
      </c>
      <c r="K61" s="107" t="n">
        <v>12283.66</v>
      </c>
      <c r="L61" s="107" t="n">
        <v>12857.58</v>
      </c>
      <c r="M61" s="107" t="n">
        <v>13043.86</v>
      </c>
      <c r="N61" s="107" t="n">
        <v>13045.14</v>
      </c>
      <c r="O61" s="36" t="n">
        <f aca="false">SUM(C61:N61)</f>
        <v>133967.86</v>
      </c>
    </row>
    <row r="62" customFormat="false" ht="15" hidden="false" customHeight="false" outlineLevel="0" collapsed="false">
      <c r="A62" s="0" t="s">
        <v>898</v>
      </c>
      <c r="B62" s="56" t="s">
        <v>2270</v>
      </c>
      <c r="C62" s="107" t="n">
        <v>11710.99</v>
      </c>
      <c r="D62" s="107" t="n">
        <v>11646.25</v>
      </c>
      <c r="E62" s="107" t="n">
        <v>12217.73</v>
      </c>
      <c r="F62" s="107" t="n">
        <v>13344.04</v>
      </c>
      <c r="G62" s="107" t="n">
        <v>13070.47</v>
      </c>
      <c r="H62" s="107" t="n">
        <v>13162.42</v>
      </c>
      <c r="I62" s="107" t="n">
        <v>13651.89</v>
      </c>
      <c r="J62" s="107" t="n">
        <v>13646.06</v>
      </c>
      <c r="K62" s="107" t="n">
        <v>14032.17</v>
      </c>
      <c r="L62" s="107" t="n">
        <v>13801.57</v>
      </c>
      <c r="M62" s="107" t="n">
        <v>15248.55</v>
      </c>
      <c r="N62" s="107" t="n">
        <v>15672.11</v>
      </c>
      <c r="O62" s="36" t="n">
        <f aca="false">SUM(C62:N62)</f>
        <v>161204.25</v>
      </c>
    </row>
    <row r="63" customFormat="false" ht="15" hidden="false" customHeight="false" outlineLevel="0" collapsed="false">
      <c r="A63" s="0" t="s">
        <v>899</v>
      </c>
      <c r="B63" s="56" t="s">
        <v>2271</v>
      </c>
      <c r="C63" s="107" t="n">
        <v>0</v>
      </c>
      <c r="D63" s="107" t="n">
        <v>10000</v>
      </c>
      <c r="E63" s="107" t="n">
        <v>9903.18</v>
      </c>
      <c r="F63" s="107" t="n">
        <v>10043.05</v>
      </c>
      <c r="G63" s="107" t="n">
        <v>10371.54</v>
      </c>
      <c r="H63" s="107" t="n">
        <v>10489.44</v>
      </c>
      <c r="I63" s="107" t="n">
        <v>11535.04</v>
      </c>
      <c r="J63" s="107" t="n">
        <v>11891.42</v>
      </c>
      <c r="K63" s="107" t="n">
        <v>13054.63</v>
      </c>
      <c r="L63" s="107" t="n">
        <v>13817.97</v>
      </c>
      <c r="M63" s="107" t="n">
        <v>14132.75</v>
      </c>
      <c r="N63" s="107" t="n">
        <v>13436.75</v>
      </c>
      <c r="O63" s="36" t="n">
        <f aca="false">SUM(C63:N63)</f>
        <v>128675.77</v>
      </c>
    </row>
    <row r="64" customFormat="false" ht="15" hidden="false" customHeight="false" outlineLevel="0" collapsed="false">
      <c r="A64" s="0" t="s">
        <v>900</v>
      </c>
      <c r="B64" s="56" t="s">
        <v>2272</v>
      </c>
      <c r="C64" s="107" t="n">
        <v>0</v>
      </c>
      <c r="D64" s="107" t="n">
        <v>0</v>
      </c>
      <c r="E64" s="107" t="n">
        <v>0</v>
      </c>
      <c r="F64" s="107" t="n">
        <v>9000</v>
      </c>
      <c r="G64" s="107" t="n">
        <v>9354</v>
      </c>
      <c r="H64" s="107" t="n">
        <v>10227.85</v>
      </c>
      <c r="I64" s="107" t="n">
        <v>10524.07</v>
      </c>
      <c r="J64" s="107" t="n">
        <v>11452.9</v>
      </c>
      <c r="K64" s="107" t="n">
        <v>11404</v>
      </c>
      <c r="L64" s="107" t="n">
        <v>11526.01</v>
      </c>
      <c r="M64" s="107" t="n">
        <v>12580.63</v>
      </c>
      <c r="N64" s="107" t="n">
        <v>12917.58</v>
      </c>
      <c r="O64" s="36" t="n">
        <f aca="false">SUM(C64:N64)</f>
        <v>98987.04</v>
      </c>
    </row>
    <row r="65" customFormat="false" ht="15" hidden="false" customHeight="false" outlineLevel="0" collapsed="false">
      <c r="A65" s="0" t="s">
        <v>901</v>
      </c>
      <c r="B65" s="56" t="s">
        <v>2273</v>
      </c>
      <c r="C65" s="107" t="n">
        <v>0</v>
      </c>
      <c r="D65" s="107" t="n">
        <v>0</v>
      </c>
      <c r="E65" s="107" t="n">
        <v>0</v>
      </c>
      <c r="F65" s="107" t="n">
        <v>0</v>
      </c>
      <c r="G65" s="107" t="n">
        <v>0</v>
      </c>
      <c r="H65" s="107" t="n">
        <v>7000</v>
      </c>
      <c r="I65" s="107" t="n">
        <v>7055.72</v>
      </c>
      <c r="J65" s="107" t="n">
        <v>7173.94</v>
      </c>
      <c r="K65" s="107" t="n">
        <v>7375.15</v>
      </c>
      <c r="L65" s="107" t="n">
        <v>7334.41</v>
      </c>
      <c r="M65" s="107" t="n">
        <v>7809.36</v>
      </c>
      <c r="N65" s="107" t="n">
        <v>7586.71</v>
      </c>
      <c r="O65" s="36" t="n">
        <f aca="false">SUM(C65:N65)</f>
        <v>51335.29</v>
      </c>
    </row>
    <row r="66" customFormat="false" ht="15" hidden="false" customHeight="false" outlineLevel="0" collapsed="false">
      <c r="A66" s="0" t="s">
        <v>902</v>
      </c>
      <c r="B66" s="56" t="s">
        <v>2274</v>
      </c>
      <c r="C66" s="107" t="n">
        <v>0</v>
      </c>
      <c r="D66" s="107" t="n">
        <v>0</v>
      </c>
      <c r="E66" s="107" t="n">
        <v>0</v>
      </c>
      <c r="F66" s="107" t="n">
        <v>0</v>
      </c>
      <c r="G66" s="107" t="n">
        <v>0</v>
      </c>
      <c r="H66" s="107" t="n">
        <v>0</v>
      </c>
      <c r="I66" s="107" t="n">
        <v>0</v>
      </c>
      <c r="J66" s="107" t="n">
        <v>8000</v>
      </c>
      <c r="K66" s="107" t="n">
        <v>8636.42</v>
      </c>
      <c r="L66" s="107" t="n">
        <v>8251.23</v>
      </c>
      <c r="M66" s="107" t="n">
        <v>7995.56</v>
      </c>
      <c r="N66" s="107" t="n">
        <v>8451.46</v>
      </c>
      <c r="O66" s="36" t="n">
        <f aca="false">SUM(C66:N66)</f>
        <v>41334.67</v>
      </c>
    </row>
    <row r="67" customFormat="false" ht="15" hidden="false" customHeight="false" outlineLevel="0" collapsed="false">
      <c r="A67" s="0" t="s">
        <v>903</v>
      </c>
      <c r="B67" s="56" t="s">
        <v>2275</v>
      </c>
      <c r="C67" s="107" t="n">
        <v>0</v>
      </c>
      <c r="D67" s="107" t="n">
        <v>0</v>
      </c>
      <c r="E67" s="107" t="n">
        <v>0</v>
      </c>
      <c r="F67" s="107" t="n">
        <v>0</v>
      </c>
      <c r="G67" s="107" t="n">
        <v>0</v>
      </c>
      <c r="H67" s="107" t="n">
        <v>0</v>
      </c>
      <c r="I67" s="107" t="n">
        <v>0</v>
      </c>
      <c r="J67" s="107" t="n">
        <v>0</v>
      </c>
      <c r="K67" s="107" t="n">
        <v>0</v>
      </c>
      <c r="L67" s="107" t="n">
        <v>8500</v>
      </c>
      <c r="M67" s="107" t="n">
        <v>8966.39</v>
      </c>
      <c r="N67" s="107" t="n">
        <v>9066.34</v>
      </c>
      <c r="O67" s="36" t="n">
        <f aca="false">SUM(C67:N67)</f>
        <v>26532.73</v>
      </c>
    </row>
    <row r="68" customFormat="false" ht="15" hidden="false" customHeight="false" outlineLevel="0" collapsed="false">
      <c r="A68" s="0" t="s">
        <v>904</v>
      </c>
      <c r="B68" s="56" t="s">
        <v>2276</v>
      </c>
      <c r="C68" s="107" t="n">
        <v>0</v>
      </c>
      <c r="D68" s="107" t="n">
        <v>0</v>
      </c>
      <c r="E68" s="107" t="n">
        <v>0</v>
      </c>
      <c r="F68" s="107" t="n">
        <v>0</v>
      </c>
      <c r="G68" s="107" t="n">
        <v>0</v>
      </c>
      <c r="H68" s="107" t="n">
        <v>0</v>
      </c>
      <c r="I68" s="107" t="n">
        <v>0</v>
      </c>
      <c r="J68" s="107" t="n">
        <v>0</v>
      </c>
      <c r="K68" s="107" t="n">
        <v>0</v>
      </c>
      <c r="L68" s="107" t="n">
        <v>0</v>
      </c>
      <c r="M68" s="107" t="n">
        <v>0</v>
      </c>
      <c r="N68" s="107" t="n">
        <v>0</v>
      </c>
      <c r="O68" s="36" t="n">
        <f aca="false">SUM(C68:N68)</f>
        <v>0</v>
      </c>
    </row>
    <row r="69" customFormat="false" ht="15" hidden="false" customHeight="false" outlineLevel="0" collapsed="false">
      <c r="A69" s="0" t="s">
        <v>905</v>
      </c>
      <c r="B69" s="56" t="s">
        <v>2277</v>
      </c>
      <c r="C69" s="107" t="n">
        <v>0</v>
      </c>
      <c r="D69" s="107" t="n">
        <v>0</v>
      </c>
      <c r="E69" s="107" t="n">
        <v>0</v>
      </c>
      <c r="F69" s="107" t="n">
        <v>0</v>
      </c>
      <c r="G69" s="107" t="n">
        <v>0</v>
      </c>
      <c r="H69" s="107" t="n">
        <v>0</v>
      </c>
      <c r="I69" s="107" t="n">
        <v>0</v>
      </c>
      <c r="J69" s="107" t="n">
        <v>0</v>
      </c>
      <c r="K69" s="107" t="n">
        <v>0</v>
      </c>
      <c r="L69" s="107" t="n">
        <v>0</v>
      </c>
      <c r="M69" s="107" t="n">
        <v>0</v>
      </c>
      <c r="N69" s="107" t="n">
        <v>0</v>
      </c>
      <c r="O69" s="36" t="n">
        <f aca="false">SUM(C69:N69)</f>
        <v>0</v>
      </c>
    </row>
    <row r="70" customFormat="false" ht="15" hidden="false" customHeight="false" outlineLevel="0" collapsed="false">
      <c r="A70" s="22" t="s">
        <v>2278</v>
      </c>
      <c r="B70" s="23"/>
      <c r="C70" s="23"/>
      <c r="D70" s="23"/>
      <c r="E70" s="23"/>
      <c r="F70" s="23"/>
      <c r="G70" s="23"/>
      <c r="H70" s="23"/>
      <c r="I70" s="23"/>
      <c r="J70" s="23"/>
      <c r="K70" s="23"/>
      <c r="L70" s="23"/>
      <c r="M70" s="23"/>
      <c r="N70" s="23"/>
      <c r="O70" s="23"/>
    </row>
    <row r="71" customFormat="false" ht="15" hidden="false" customHeight="false" outlineLevel="0" collapsed="false">
      <c r="A71" s="0" t="s">
        <v>890</v>
      </c>
      <c r="B71" s="56" t="s">
        <v>2279</v>
      </c>
      <c r="C71" s="107" t="n">
        <v>26894.73</v>
      </c>
      <c r="D71" s="107" t="n">
        <v>26876.39</v>
      </c>
      <c r="E71" s="107" t="n">
        <v>27272.05</v>
      </c>
      <c r="F71" s="107" t="n">
        <v>26502.86</v>
      </c>
      <c r="G71" s="107" t="n">
        <v>37787.78</v>
      </c>
      <c r="H71" s="107" t="n">
        <v>28589</v>
      </c>
      <c r="I71" s="107" t="n">
        <v>29883.25</v>
      </c>
      <c r="J71" s="107" t="n">
        <v>30818.27</v>
      </c>
      <c r="K71" s="107" t="n">
        <v>30830.02</v>
      </c>
      <c r="L71" s="107" t="n">
        <v>30975.49</v>
      </c>
      <c r="M71" s="107" t="n">
        <v>28980.27</v>
      </c>
      <c r="N71" s="107" t="n">
        <v>30464.04</v>
      </c>
      <c r="O71" s="36" t="n">
        <f aca="false">SUM(C71:N71)</f>
        <v>355874.15</v>
      </c>
    </row>
    <row r="72" customFormat="false" ht="15" hidden="false" customHeight="false" outlineLevel="0" collapsed="false">
      <c r="A72" s="0" t="s">
        <v>892</v>
      </c>
      <c r="B72" s="56" t="s">
        <v>2280</v>
      </c>
      <c r="C72" s="107" t="n">
        <v>14867.67</v>
      </c>
      <c r="D72" s="107" t="n">
        <v>14577.97</v>
      </c>
      <c r="E72" s="107" t="n">
        <v>13853.5</v>
      </c>
      <c r="F72" s="107" t="n">
        <v>14267.47</v>
      </c>
      <c r="G72" s="107" t="n">
        <v>14911.9</v>
      </c>
      <c r="H72" s="107" t="n">
        <v>15354.52</v>
      </c>
      <c r="I72" s="107" t="n">
        <v>15341.01</v>
      </c>
      <c r="J72" s="107" t="n">
        <v>15099.27</v>
      </c>
      <c r="K72" s="107" t="n">
        <v>97501.41</v>
      </c>
      <c r="L72" s="107" t="n">
        <v>16138.38</v>
      </c>
      <c r="M72" s="107" t="n">
        <v>16483.97</v>
      </c>
      <c r="N72" s="107" t="n">
        <v>15697.01</v>
      </c>
      <c r="O72" s="36" t="n">
        <f aca="false">SUM(C72:N72)</f>
        <v>264094.08</v>
      </c>
    </row>
    <row r="73" customFormat="false" ht="15" hidden="false" customHeight="false" outlineLevel="0" collapsed="false">
      <c r="A73" s="0" t="s">
        <v>893</v>
      </c>
      <c r="B73" s="56" t="s">
        <v>2281</v>
      </c>
      <c r="C73" s="107" t="n">
        <v>59465.13</v>
      </c>
      <c r="D73" s="107" t="n">
        <v>23627.37</v>
      </c>
      <c r="E73" s="107" t="n">
        <v>22697.35</v>
      </c>
      <c r="F73" s="107" t="n">
        <v>23344.07</v>
      </c>
      <c r="G73" s="107" t="n">
        <v>26340.8</v>
      </c>
      <c r="H73" s="107" t="n">
        <v>27003.97</v>
      </c>
      <c r="I73" s="107" t="n">
        <v>27524.98</v>
      </c>
      <c r="J73" s="107" t="n">
        <v>27508.01</v>
      </c>
      <c r="K73" s="107" t="n">
        <v>25913.41</v>
      </c>
      <c r="L73" s="107" t="n">
        <v>25569.46</v>
      </c>
      <c r="M73" s="107" t="n">
        <v>24281.05</v>
      </c>
      <c r="N73" s="107" t="n">
        <v>24425.69</v>
      </c>
      <c r="O73" s="36" t="n">
        <f aca="false">SUM(C73:N73)</f>
        <v>337701.29</v>
      </c>
    </row>
    <row r="74" customFormat="false" ht="15" hidden="false" customHeight="false" outlineLevel="0" collapsed="false">
      <c r="A74" s="0" t="s">
        <v>894</v>
      </c>
      <c r="B74" s="56" t="s">
        <v>2282</v>
      </c>
      <c r="C74" s="107" t="n">
        <v>12908.77</v>
      </c>
      <c r="D74" s="107" t="n">
        <v>12194.39</v>
      </c>
      <c r="E74" s="107" t="n">
        <v>46179.17</v>
      </c>
      <c r="F74" s="107" t="n">
        <v>12987.69</v>
      </c>
      <c r="G74" s="107" t="n">
        <v>12404.49</v>
      </c>
      <c r="H74" s="107" t="n">
        <v>12211.52</v>
      </c>
      <c r="I74" s="107" t="n">
        <v>13375.63</v>
      </c>
      <c r="J74" s="107" t="n">
        <v>12699.13</v>
      </c>
      <c r="K74" s="107" t="n">
        <v>12604.59</v>
      </c>
      <c r="L74" s="107" t="n">
        <v>12764.76</v>
      </c>
      <c r="M74" s="107" t="n">
        <v>12756.57</v>
      </c>
      <c r="N74" s="107" t="n">
        <v>13482.78</v>
      </c>
      <c r="O74" s="36" t="n">
        <f aca="false">SUM(C74:N74)</f>
        <v>186569.49</v>
      </c>
    </row>
    <row r="75" customFormat="false" ht="15" hidden="false" customHeight="false" outlineLevel="0" collapsed="false">
      <c r="A75" s="0" t="s">
        <v>895</v>
      </c>
      <c r="B75" s="56" t="s">
        <v>2283</v>
      </c>
      <c r="C75" s="107" t="n">
        <v>13737.88</v>
      </c>
      <c r="D75" s="107" t="n">
        <v>12857.69</v>
      </c>
      <c r="E75" s="107" t="n">
        <v>13884.29</v>
      </c>
      <c r="F75" s="107" t="n">
        <v>14380.9</v>
      </c>
      <c r="G75" s="107" t="n">
        <v>14607.98</v>
      </c>
      <c r="H75" s="107" t="n">
        <v>70986.2</v>
      </c>
      <c r="I75" s="107" t="n">
        <v>15993.28</v>
      </c>
      <c r="J75" s="107" t="n">
        <v>15549.15</v>
      </c>
      <c r="K75" s="107" t="n">
        <v>16433.73</v>
      </c>
      <c r="L75" s="107" t="n">
        <v>16833.14</v>
      </c>
      <c r="M75" s="107" t="n">
        <v>15658.44</v>
      </c>
      <c r="N75" s="107" t="n">
        <v>15974.95</v>
      </c>
      <c r="O75" s="36" t="n">
        <f aca="false">SUM(C75:N75)</f>
        <v>236897.63</v>
      </c>
    </row>
    <row r="76" customFormat="false" ht="15" hidden="false" customHeight="false" outlineLevel="0" collapsed="false">
      <c r="A76" s="0" t="s">
        <v>896</v>
      </c>
      <c r="B76" s="56" t="s">
        <v>2284</v>
      </c>
      <c r="C76" s="107" t="n">
        <v>14175.4</v>
      </c>
      <c r="D76" s="107" t="n">
        <v>14687.41</v>
      </c>
      <c r="E76" s="107" t="n">
        <v>14180.96</v>
      </c>
      <c r="F76" s="107" t="n">
        <v>13828.39</v>
      </c>
      <c r="G76" s="107" t="n">
        <v>14616.25</v>
      </c>
      <c r="H76" s="107" t="n">
        <v>16033.19</v>
      </c>
      <c r="I76" s="107" t="n">
        <v>14223.49</v>
      </c>
      <c r="J76" s="107" t="n">
        <v>46671.59</v>
      </c>
      <c r="K76" s="107" t="n">
        <v>14506.23</v>
      </c>
      <c r="L76" s="107" t="n">
        <v>15234.26</v>
      </c>
      <c r="M76" s="107" t="n">
        <v>15523.67</v>
      </c>
      <c r="N76" s="107" t="n">
        <v>15803.33</v>
      </c>
      <c r="O76" s="36" t="n">
        <f aca="false">SUM(C76:N76)</f>
        <v>209484.17</v>
      </c>
    </row>
    <row r="77" customFormat="false" ht="15" hidden="false" customHeight="false" outlineLevel="0" collapsed="false">
      <c r="A77" s="0" t="s">
        <v>897</v>
      </c>
      <c r="B77" s="56" t="s">
        <v>2285</v>
      </c>
      <c r="C77" s="107" t="n">
        <v>9349.14</v>
      </c>
      <c r="D77" s="107" t="n">
        <v>9630.24</v>
      </c>
      <c r="E77" s="107" t="n">
        <v>9676.7</v>
      </c>
      <c r="F77" s="107" t="n">
        <v>9778.56</v>
      </c>
      <c r="G77" s="107" t="n">
        <v>10523.4</v>
      </c>
      <c r="H77" s="107" t="n">
        <v>11064.13</v>
      </c>
      <c r="I77" s="107" t="n">
        <v>11051.52</v>
      </c>
      <c r="J77" s="107" t="n">
        <v>11663.93</v>
      </c>
      <c r="K77" s="107" t="n">
        <v>12283.66</v>
      </c>
      <c r="L77" s="107" t="n">
        <v>46001.09</v>
      </c>
      <c r="M77" s="107" t="n">
        <v>13043.86</v>
      </c>
      <c r="N77" s="107" t="n">
        <v>13045.14</v>
      </c>
      <c r="O77" s="36" t="n">
        <f aca="false">SUM(C77:N77)</f>
        <v>167111.37</v>
      </c>
    </row>
    <row r="78" customFormat="false" ht="15" hidden="false" customHeight="false" outlineLevel="0" collapsed="false">
      <c r="A78" s="0" t="s">
        <v>898</v>
      </c>
      <c r="B78" s="56" t="s">
        <v>2286</v>
      </c>
      <c r="C78" s="107" t="n">
        <v>11710.99</v>
      </c>
      <c r="D78" s="107" t="n">
        <v>25750.03</v>
      </c>
      <c r="E78" s="107" t="n">
        <v>12217.73</v>
      </c>
      <c r="F78" s="107" t="n">
        <v>13344.04</v>
      </c>
      <c r="G78" s="107" t="n">
        <v>13070.47</v>
      </c>
      <c r="H78" s="107" t="n">
        <v>13162.42</v>
      </c>
      <c r="I78" s="107" t="n">
        <v>13651.89</v>
      </c>
      <c r="J78" s="107" t="n">
        <v>13646.06</v>
      </c>
      <c r="K78" s="107" t="n">
        <v>14032.17</v>
      </c>
      <c r="L78" s="107" t="n">
        <v>13801.57</v>
      </c>
      <c r="M78" s="107" t="n">
        <v>15248.55</v>
      </c>
      <c r="N78" s="107" t="n">
        <v>15672.11</v>
      </c>
      <c r="O78" s="36" t="n">
        <f aca="false">SUM(C78:N78)</f>
        <v>175308.03</v>
      </c>
    </row>
    <row r="79" customFormat="false" ht="15" hidden="false" customHeight="false" outlineLevel="0" collapsed="false">
      <c r="A79" s="0" t="s">
        <v>899</v>
      </c>
      <c r="B79" s="56" t="s">
        <v>2287</v>
      </c>
      <c r="C79" s="107" t="n">
        <v>0</v>
      </c>
      <c r="D79" s="107" t="n">
        <v>10000</v>
      </c>
      <c r="E79" s="107" t="n">
        <v>9903.18</v>
      </c>
      <c r="F79" s="107" t="n">
        <v>10043.05</v>
      </c>
      <c r="G79" s="107" t="n">
        <v>10371.54</v>
      </c>
      <c r="H79" s="107" t="n">
        <v>10489.44</v>
      </c>
      <c r="I79" s="107" t="n">
        <v>11535.04</v>
      </c>
      <c r="J79" s="107" t="n">
        <v>11891.42</v>
      </c>
      <c r="K79" s="107" t="n">
        <v>13054.63</v>
      </c>
      <c r="L79" s="107" t="n">
        <v>13817.97</v>
      </c>
      <c r="M79" s="107" t="n">
        <v>14132.75</v>
      </c>
      <c r="N79" s="107" t="n">
        <v>13436.75</v>
      </c>
      <c r="O79" s="36" t="n">
        <f aca="false">SUM(C79:N79)</f>
        <v>128675.77</v>
      </c>
    </row>
    <row r="80" customFormat="false" ht="15" hidden="false" customHeight="false" outlineLevel="0" collapsed="false">
      <c r="A80" s="0" t="s">
        <v>900</v>
      </c>
      <c r="B80" s="56" t="s">
        <v>2288</v>
      </c>
      <c r="C80" s="107" t="n">
        <v>0</v>
      </c>
      <c r="D80" s="107" t="n">
        <v>0</v>
      </c>
      <c r="E80" s="107" t="n">
        <v>0</v>
      </c>
      <c r="F80" s="107" t="n">
        <v>9000</v>
      </c>
      <c r="G80" s="107" t="n">
        <v>9354</v>
      </c>
      <c r="H80" s="107" t="n">
        <v>10227.85</v>
      </c>
      <c r="I80" s="107" t="n">
        <v>10524.07</v>
      </c>
      <c r="J80" s="107" t="n">
        <v>11452.9</v>
      </c>
      <c r="K80" s="107" t="n">
        <v>11404</v>
      </c>
      <c r="L80" s="107" t="n">
        <v>11526.01</v>
      </c>
      <c r="M80" s="107" t="n">
        <v>12580.63</v>
      </c>
      <c r="N80" s="107" t="n">
        <v>12917.58</v>
      </c>
      <c r="O80" s="36" t="n">
        <f aca="false">SUM(C80:N80)</f>
        <v>98987.04</v>
      </c>
    </row>
    <row r="81" customFormat="false" ht="15" hidden="false" customHeight="false" outlineLevel="0" collapsed="false">
      <c r="A81" s="0" t="s">
        <v>901</v>
      </c>
      <c r="B81" s="56" t="s">
        <v>2289</v>
      </c>
      <c r="C81" s="107" t="n">
        <v>0</v>
      </c>
      <c r="D81" s="107" t="n">
        <v>0</v>
      </c>
      <c r="E81" s="107" t="n">
        <v>0</v>
      </c>
      <c r="F81" s="107" t="n">
        <v>0</v>
      </c>
      <c r="G81" s="107" t="n">
        <v>0</v>
      </c>
      <c r="H81" s="107" t="n">
        <v>7000</v>
      </c>
      <c r="I81" s="107" t="n">
        <v>7055.72</v>
      </c>
      <c r="J81" s="107" t="n">
        <v>7173.94</v>
      </c>
      <c r="K81" s="107" t="n">
        <v>7375.15</v>
      </c>
      <c r="L81" s="107" t="n">
        <v>7334.41</v>
      </c>
      <c r="M81" s="107" t="n">
        <v>7809.36</v>
      </c>
      <c r="N81" s="107" t="n">
        <v>7586.71</v>
      </c>
      <c r="O81" s="36" t="n">
        <f aca="false">SUM(C81:N81)</f>
        <v>51335.29</v>
      </c>
    </row>
    <row r="82" customFormat="false" ht="15" hidden="false" customHeight="false" outlineLevel="0" collapsed="false">
      <c r="A82" s="0" t="s">
        <v>902</v>
      </c>
      <c r="B82" s="56" t="s">
        <v>2290</v>
      </c>
      <c r="C82" s="107" t="n">
        <v>0</v>
      </c>
      <c r="D82" s="107" t="n">
        <v>0</v>
      </c>
      <c r="E82" s="107" t="n">
        <v>0</v>
      </c>
      <c r="F82" s="107" t="n">
        <v>0</v>
      </c>
      <c r="G82" s="107" t="n">
        <v>0</v>
      </c>
      <c r="H82" s="107" t="n">
        <v>0</v>
      </c>
      <c r="I82" s="107" t="n">
        <v>0</v>
      </c>
      <c r="J82" s="107" t="n">
        <v>8000</v>
      </c>
      <c r="K82" s="107" t="n">
        <v>8636.42</v>
      </c>
      <c r="L82" s="107" t="n">
        <v>8251.23</v>
      </c>
      <c r="M82" s="107" t="n">
        <v>7995.56</v>
      </c>
      <c r="N82" s="107" t="n">
        <v>8451.46</v>
      </c>
      <c r="O82" s="36" t="n">
        <f aca="false">SUM(C82:N82)</f>
        <v>41334.67</v>
      </c>
    </row>
    <row r="83" customFormat="false" ht="15" hidden="false" customHeight="false" outlineLevel="0" collapsed="false">
      <c r="A83" s="0" t="s">
        <v>903</v>
      </c>
      <c r="B83" s="56" t="s">
        <v>2291</v>
      </c>
      <c r="C83" s="107" t="n">
        <v>0</v>
      </c>
      <c r="D83" s="107" t="n">
        <v>0</v>
      </c>
      <c r="E83" s="107" t="n">
        <v>0</v>
      </c>
      <c r="F83" s="107" t="n">
        <v>0</v>
      </c>
      <c r="G83" s="107" t="n">
        <v>0</v>
      </c>
      <c r="H83" s="107" t="n">
        <v>0</v>
      </c>
      <c r="I83" s="107" t="n">
        <v>0</v>
      </c>
      <c r="J83" s="107" t="n">
        <v>0</v>
      </c>
      <c r="K83" s="107" t="n">
        <v>0</v>
      </c>
      <c r="L83" s="107" t="n">
        <v>8500</v>
      </c>
      <c r="M83" s="107" t="n">
        <v>8966.39</v>
      </c>
      <c r="N83" s="107" t="n">
        <v>9066.34</v>
      </c>
      <c r="O83" s="36" t="n">
        <f aca="false">SUM(C83:N83)</f>
        <v>26532.73</v>
      </c>
    </row>
    <row r="84" customFormat="false" ht="15" hidden="false" customHeight="false" outlineLevel="0" collapsed="false">
      <c r="A84" s="0" t="s">
        <v>904</v>
      </c>
      <c r="B84" s="56" t="s">
        <v>2292</v>
      </c>
      <c r="C84" s="107" t="n">
        <v>0</v>
      </c>
      <c r="D84" s="107" t="n">
        <v>0</v>
      </c>
      <c r="E84" s="107" t="n">
        <v>0</v>
      </c>
      <c r="F84" s="107" t="n">
        <v>0</v>
      </c>
      <c r="G84" s="107" t="n">
        <v>0</v>
      </c>
      <c r="H84" s="107" t="n">
        <v>0</v>
      </c>
      <c r="I84" s="107" t="n">
        <v>0</v>
      </c>
      <c r="J84" s="107" t="n">
        <v>0</v>
      </c>
      <c r="K84" s="107" t="n">
        <v>0</v>
      </c>
      <c r="L84" s="107" t="n">
        <v>0</v>
      </c>
      <c r="M84" s="107" t="n">
        <v>0</v>
      </c>
      <c r="N84" s="107" t="n">
        <v>0</v>
      </c>
      <c r="O84" s="36" t="n">
        <f aca="false">SUM(C84:N84)</f>
        <v>0</v>
      </c>
    </row>
    <row r="85" customFormat="false" ht="15" hidden="false" customHeight="false" outlineLevel="0" collapsed="false">
      <c r="A85" s="0" t="s">
        <v>905</v>
      </c>
      <c r="B85" s="56" t="s">
        <v>2293</v>
      </c>
      <c r="C85" s="107" t="n">
        <v>0</v>
      </c>
      <c r="D85" s="107" t="n">
        <v>0</v>
      </c>
      <c r="E85" s="107" t="n">
        <v>0</v>
      </c>
      <c r="F85" s="107" t="n">
        <v>0</v>
      </c>
      <c r="G85" s="107" t="n">
        <v>0</v>
      </c>
      <c r="H85" s="107" t="n">
        <v>0</v>
      </c>
      <c r="I85" s="107" t="n">
        <v>0</v>
      </c>
      <c r="J85" s="107" t="n">
        <v>0</v>
      </c>
      <c r="K85" s="107" t="n">
        <v>0</v>
      </c>
      <c r="L85" s="107" t="n">
        <v>0</v>
      </c>
      <c r="M85" s="107" t="n">
        <v>0</v>
      </c>
      <c r="N85" s="107" t="n">
        <v>0</v>
      </c>
      <c r="O85" s="36" t="n">
        <f aca="false">SUM(C85:N85)</f>
        <v>0</v>
      </c>
    </row>
    <row r="87" customFormat="false" ht="15" hidden="false" customHeight="false" outlineLevel="0" collapsed="false">
      <c r="A87" s="22" t="s">
        <v>2294</v>
      </c>
      <c r="B87" s="23"/>
      <c r="C87" s="23"/>
      <c r="D87" s="23"/>
      <c r="E87" s="23"/>
      <c r="F87" s="23"/>
      <c r="G87" s="23"/>
      <c r="H87" s="23"/>
      <c r="I87" s="23"/>
      <c r="J87" s="23"/>
      <c r="K87" s="23"/>
      <c r="L87" s="23"/>
      <c r="M87" s="23"/>
      <c r="N87" s="23"/>
      <c r="O87" s="23"/>
    </row>
    <row r="88" customFormat="false" ht="42" hidden="false" customHeight="true" outlineLevel="0" collapsed="false">
      <c r="A88" s="26" t="s">
        <v>2295</v>
      </c>
      <c r="B88" s="27" t="s">
        <v>2296</v>
      </c>
      <c r="C88" s="27" t="s">
        <v>2297</v>
      </c>
      <c r="D88" s="27" t="s">
        <v>2298</v>
      </c>
      <c r="E88" s="27" t="s">
        <v>2299</v>
      </c>
      <c r="F88" s="27" t="s">
        <v>2300</v>
      </c>
    </row>
    <row r="89" customFormat="false" ht="15" hidden="false" customHeight="false" outlineLevel="0" collapsed="false">
      <c r="A89" s="0" t="s">
        <v>2166</v>
      </c>
      <c r="B89" s="0" t="n">
        <v>-11</v>
      </c>
      <c r="C89" s="107" t="n">
        <v>59181.33</v>
      </c>
      <c r="D89" s="107" t="n">
        <v>52401.57</v>
      </c>
    </row>
    <row r="90" customFormat="false" ht="15" hidden="false" customHeight="false" outlineLevel="0" collapsed="false">
      <c r="A90" s="0" t="s">
        <v>2167</v>
      </c>
      <c r="B90" s="0" t="n">
        <v>-10</v>
      </c>
      <c r="C90" s="107" t="n">
        <v>57327.92</v>
      </c>
      <c r="D90" s="107" t="n">
        <v>47495.66</v>
      </c>
    </row>
    <row r="91" customFormat="false" ht="15" hidden="false" customHeight="false" outlineLevel="0" collapsed="false">
      <c r="A91" s="0" t="s">
        <v>2168</v>
      </c>
      <c r="B91" s="0" t="n">
        <v>-9</v>
      </c>
      <c r="C91" s="107" t="n">
        <v>61635.47</v>
      </c>
      <c r="D91" s="107" t="n">
        <v>52695.73</v>
      </c>
    </row>
    <row r="92" customFormat="false" ht="15" hidden="false" customHeight="false" outlineLevel="0" collapsed="false">
      <c r="A92" s="0" t="s">
        <v>2169</v>
      </c>
      <c r="B92" s="0" t="n">
        <v>-8</v>
      </c>
      <c r="C92" s="107" t="n">
        <v>65423.87</v>
      </c>
      <c r="D92" s="107" t="n">
        <v>53709.76</v>
      </c>
    </row>
    <row r="93" customFormat="false" ht="15" hidden="false" customHeight="false" outlineLevel="0" collapsed="false">
      <c r="A93" s="0" t="s">
        <v>2170</v>
      </c>
      <c r="B93" s="0" t="n">
        <v>-7</v>
      </c>
      <c r="C93" s="107" t="n">
        <v>70630.94</v>
      </c>
      <c r="D93" s="107" t="n">
        <v>57361.55</v>
      </c>
    </row>
    <row r="94" customFormat="false" ht="15" hidden="false" customHeight="false" outlineLevel="0" collapsed="false">
      <c r="A94" s="0" t="s">
        <v>2171</v>
      </c>
      <c r="B94" s="0" t="n">
        <v>-6</v>
      </c>
      <c r="C94" s="107" t="n">
        <v>66465.34</v>
      </c>
      <c r="D94" s="107" t="n">
        <v>51331.18</v>
      </c>
    </row>
    <row r="95" customFormat="false" ht="15" hidden="false" customHeight="false" outlineLevel="0" collapsed="false">
      <c r="A95" s="0" t="s">
        <v>2172</v>
      </c>
      <c r="B95" s="0" t="n">
        <v>-5</v>
      </c>
      <c r="C95" s="107" t="n">
        <v>63741.37</v>
      </c>
      <c r="D95" s="107" t="n">
        <v>45864.88</v>
      </c>
    </row>
    <row r="96" customFormat="false" ht="15" hidden="false" customHeight="false" outlineLevel="0" collapsed="false">
      <c r="A96" s="0" t="s">
        <v>2173</v>
      </c>
      <c r="B96" s="0" t="n">
        <v>-4</v>
      </c>
      <c r="C96" s="107" t="n">
        <v>60341.25</v>
      </c>
      <c r="D96" s="107" t="n">
        <v>41469.06</v>
      </c>
    </row>
    <row r="97" customFormat="false" ht="15" hidden="false" customHeight="false" outlineLevel="0" collapsed="false">
      <c r="A97" s="0" t="s">
        <v>2174</v>
      </c>
      <c r="B97" s="0" t="n">
        <v>-3</v>
      </c>
      <c r="C97" s="107" t="n">
        <v>79861.34</v>
      </c>
      <c r="D97" s="107" t="n">
        <v>48246.29</v>
      </c>
    </row>
    <row r="98" customFormat="false" ht="15" hidden="false" customHeight="false" outlineLevel="0" collapsed="false">
      <c r="A98" s="0" t="s">
        <v>2175</v>
      </c>
      <c r="B98" s="0" t="n">
        <v>-2</v>
      </c>
      <c r="C98" s="107" t="n">
        <v>80534.2</v>
      </c>
      <c r="D98" s="107" t="n">
        <v>41428.67</v>
      </c>
    </row>
    <row r="99" customFormat="false" ht="15" hidden="false" customHeight="false" outlineLevel="0" collapsed="false">
      <c r="A99" s="0" t="s">
        <v>2176</v>
      </c>
      <c r="B99" s="0" t="n">
        <v>-1</v>
      </c>
      <c r="C99" s="107" t="n">
        <v>79718.21</v>
      </c>
      <c r="D99" s="107" t="n">
        <v>30509.73</v>
      </c>
    </row>
    <row r="100" customFormat="false" ht="15" hidden="false" customHeight="false" outlineLevel="0" collapsed="false">
      <c r="A100" s="0" t="s">
        <v>2177</v>
      </c>
      <c r="B100" s="0" t="n">
        <v>0</v>
      </c>
      <c r="C100" s="107" t="n">
        <v>77725.58</v>
      </c>
      <c r="D100" s="107" t="n">
        <v>17459.63</v>
      </c>
    </row>
    <row r="101" customFormat="false" ht="15" hidden="false" customHeight="false" outlineLevel="0" collapsed="false">
      <c r="A101" s="0" t="s">
        <v>2301</v>
      </c>
      <c r="B101" s="0" t="n">
        <v>-23</v>
      </c>
      <c r="C101" s="107" t="n">
        <v>44651.42</v>
      </c>
      <c r="D101" s="107" t="n">
        <v>38283.73</v>
      </c>
      <c r="E101" s="29" t="n">
        <f aca="false">C101-D101</f>
        <v>6367.69</v>
      </c>
      <c r="F101" s="121" t="n">
        <f aca="false">IF(C101=0,0,E101/C101)</f>
        <v>0.142608902471635</v>
      </c>
    </row>
    <row r="102" customFormat="false" ht="15" hidden="false" customHeight="false" outlineLevel="0" collapsed="false">
      <c r="A102" s="0" t="s">
        <v>2302</v>
      </c>
      <c r="B102" s="0" t="n">
        <v>-22</v>
      </c>
      <c r="C102" s="107" t="n">
        <v>43852.51</v>
      </c>
      <c r="D102" s="107" t="n">
        <v>38561.29</v>
      </c>
      <c r="E102" s="29" t="n">
        <f aca="false">C102-D102</f>
        <v>5291.22</v>
      </c>
      <c r="F102" s="121" t="n">
        <f aca="false">IF(C102=0,0,E102/C102)</f>
        <v>0.120659455980969</v>
      </c>
    </row>
    <row r="103" customFormat="false" ht="15" hidden="false" customHeight="false" outlineLevel="0" collapsed="false">
      <c r="A103" s="0" t="s">
        <v>2303</v>
      </c>
      <c r="B103" s="0" t="n">
        <v>-21</v>
      </c>
      <c r="C103" s="107" t="n">
        <v>40367.69</v>
      </c>
      <c r="D103" s="107" t="n">
        <v>35636.48</v>
      </c>
      <c r="E103" s="29" t="n">
        <f aca="false">C103-D103</f>
        <v>4731.21</v>
      </c>
      <c r="F103" s="121" t="n">
        <f aca="false">IF(C103=0,0,E103/C103)</f>
        <v>0.1172028917186</v>
      </c>
    </row>
    <row r="104" customFormat="false" ht="15" hidden="false" customHeight="false" outlineLevel="0" collapsed="false">
      <c r="A104" s="0" t="s">
        <v>2304</v>
      </c>
      <c r="B104" s="0" t="n">
        <v>-20</v>
      </c>
      <c r="C104" s="107" t="n">
        <v>43900.73</v>
      </c>
      <c r="D104" s="107" t="n">
        <v>37420.11</v>
      </c>
      <c r="E104" s="29" t="n">
        <f aca="false">C104-D104</f>
        <v>6480.62</v>
      </c>
      <c r="F104" s="121" t="n">
        <f aca="false">IF(C104=0,0,E104/C104)</f>
        <v>0.147619868735668</v>
      </c>
    </row>
    <row r="105" customFormat="false" ht="15" hidden="false" customHeight="false" outlineLevel="0" collapsed="false">
      <c r="A105" s="0" t="s">
        <v>2305</v>
      </c>
      <c r="B105" s="0" t="n">
        <v>-19</v>
      </c>
      <c r="C105" s="107" t="n">
        <v>46391.67</v>
      </c>
      <c r="D105" s="107" t="n">
        <v>43039.33</v>
      </c>
      <c r="E105" s="29" t="n">
        <f aca="false">C105-D105</f>
        <v>3352.34</v>
      </c>
      <c r="F105" s="121" t="n">
        <f aca="false">IF(C105=0,0,E105/C105)</f>
        <v>0.072261679736901</v>
      </c>
    </row>
    <row r="106" customFormat="false" ht="15" hidden="false" customHeight="false" outlineLevel="0" collapsed="false">
      <c r="A106" s="0" t="s">
        <v>2306</v>
      </c>
      <c r="B106" s="0" t="n">
        <v>-18</v>
      </c>
      <c r="C106" s="107" t="n">
        <v>47011.43</v>
      </c>
      <c r="D106" s="107" t="n">
        <v>41560.05</v>
      </c>
      <c r="E106" s="29" t="n">
        <f aca="false">C106-D106</f>
        <v>5451.38</v>
      </c>
      <c r="F106" s="121" t="n">
        <f aca="false">IF(C106=0,0,E106/C106)</f>
        <v>0.115958608363966</v>
      </c>
    </row>
    <row r="107" customFormat="false" ht="15" hidden="false" customHeight="false" outlineLevel="0" collapsed="false">
      <c r="A107" s="0" t="s">
        <v>2307</v>
      </c>
      <c r="B107" s="0" t="n">
        <v>-17</v>
      </c>
      <c r="C107" s="107" t="n">
        <v>44051.16</v>
      </c>
      <c r="D107" s="107" t="n">
        <v>40316.06</v>
      </c>
      <c r="E107" s="29" t="n">
        <f aca="false">C107-D107</f>
        <v>3735.10000000001</v>
      </c>
      <c r="F107" s="121" t="n">
        <f aca="false">IF(C107=0,0,E107/C107)</f>
        <v>0.0847900486616018</v>
      </c>
    </row>
    <row r="108" customFormat="false" ht="15" hidden="false" customHeight="false" outlineLevel="0" collapsed="false">
      <c r="A108" s="0" t="s">
        <v>2308</v>
      </c>
      <c r="B108" s="0" t="n">
        <v>-16</v>
      </c>
      <c r="C108" s="107" t="n">
        <v>44024.66</v>
      </c>
      <c r="D108" s="107" t="n">
        <v>37340.95</v>
      </c>
      <c r="E108" s="29" t="n">
        <f aca="false">C108-D108</f>
        <v>6683.71000000001</v>
      </c>
      <c r="F108" s="121" t="n">
        <f aca="false">IF(C108=0,0,E108/C108)</f>
        <v>0.15181741324067</v>
      </c>
    </row>
    <row r="109" customFormat="false" ht="15" hidden="false" customHeight="false" outlineLevel="0" collapsed="false">
      <c r="A109" s="0" t="s">
        <v>2309</v>
      </c>
      <c r="B109" s="0" t="n">
        <v>-15</v>
      </c>
      <c r="C109" s="107" t="n">
        <v>53252.69</v>
      </c>
      <c r="D109" s="107" t="n">
        <v>47139.63</v>
      </c>
      <c r="E109" s="29" t="n">
        <f aca="false">C109-D109</f>
        <v>6113.06000000001</v>
      </c>
      <c r="F109" s="121" t="n">
        <f aca="false">IF(C109=0,0,E109/C109)</f>
        <v>0.114793449870795</v>
      </c>
    </row>
    <row r="110" customFormat="false" ht="15" hidden="false" customHeight="false" outlineLevel="0" collapsed="false">
      <c r="A110" s="0" t="s">
        <v>2310</v>
      </c>
      <c r="B110" s="0" t="n">
        <v>-14</v>
      </c>
      <c r="C110" s="107" t="n">
        <v>52460.14</v>
      </c>
      <c r="D110" s="107" t="n">
        <v>46101.65</v>
      </c>
      <c r="E110" s="29" t="n">
        <f aca="false">C110-D110</f>
        <v>6358.49</v>
      </c>
      <c r="F110" s="121" t="n">
        <f aca="false">IF(C110=0,0,E110/C110)</f>
        <v>0.121206119541427</v>
      </c>
    </row>
    <row r="111" customFormat="false" ht="15" hidden="false" customHeight="false" outlineLevel="0" collapsed="false">
      <c r="A111" s="0" t="s">
        <v>2311</v>
      </c>
      <c r="B111" s="0" t="n">
        <v>-13</v>
      </c>
      <c r="C111" s="107" t="n">
        <v>57004.97</v>
      </c>
      <c r="D111" s="107" t="n">
        <v>49464.25</v>
      </c>
      <c r="E111" s="29" t="n">
        <f aca="false">C111-D111</f>
        <v>7540.72</v>
      </c>
      <c r="F111" s="121" t="n">
        <f aca="false">IF(C111=0,0,E111/C111)</f>
        <v>0.132281799288729</v>
      </c>
    </row>
    <row r="112" customFormat="false" ht="15" hidden="false" customHeight="false" outlineLevel="0" collapsed="false">
      <c r="A112" s="0" t="s">
        <v>2312</v>
      </c>
      <c r="B112" s="0" t="n">
        <v>-12</v>
      </c>
      <c r="C112" s="107" t="n">
        <v>52763.48</v>
      </c>
      <c r="D112" s="107" t="n">
        <v>45079.94</v>
      </c>
      <c r="E112" s="29" t="n">
        <f aca="false">C112-D112</f>
        <v>7683.54</v>
      </c>
      <c r="F112" s="121" t="n">
        <f aca="false">IF(C112=0,0,E112/C112)</f>
        <v>0.145622313008922</v>
      </c>
    </row>
    <row r="113" customFormat="false" ht="15" hidden="false" customHeight="false" outlineLevel="0" collapsed="false">
      <c r="A113" s="5" t="s">
        <v>2313</v>
      </c>
      <c r="F113" s="37" t="n">
        <f aca="false">SUM(E101:E112)/SUM(C101:C112)</f>
        <v>0.122494458145318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20" t="str">
        <f aca="false">Assumptions!$C$6</f>
        <v>Serennix AI SAS (fictional demonstration company)</v>
      </c>
    </row>
    <row r="2" customFormat="false" ht="17.35" hidden="false" customHeight="false" outlineLevel="0" collapsed="false">
      <c r="A2" s="21" t="s">
        <v>2314</v>
      </c>
    </row>
    <row r="3" customFormat="false" ht="15" hidden="false" customHeight="false" outlineLevel="0" collapsed="false">
      <c r="A3" s="49" t="s">
        <v>2315</v>
      </c>
    </row>
    <row r="4" customFormat="false" ht="15" hidden="false" customHeight="false" outlineLevel="0" collapsed="false">
      <c r="A4" s="50" t="s">
        <v>341</v>
      </c>
      <c r="B4" s="50" t="s">
        <v>342</v>
      </c>
      <c r="C4" s="51" t="s">
        <v>343</v>
      </c>
      <c r="D4" s="51"/>
      <c r="E4" s="52" t="n">
        <f aca="false">Assumptions!E$203</f>
        <v>46053</v>
      </c>
      <c r="F4" s="52" t="n">
        <f aca="false">Assumptions!F$203</f>
        <v>46081</v>
      </c>
      <c r="G4" s="52" t="n">
        <f aca="false">Assumptions!G$203</f>
        <v>46112</v>
      </c>
      <c r="H4" s="52" t="n">
        <f aca="false">Assumptions!H$203</f>
        <v>46142</v>
      </c>
      <c r="I4" s="52" t="n">
        <f aca="false">Assumptions!I$203</f>
        <v>46173</v>
      </c>
      <c r="J4" s="52" t="n">
        <f aca="false">Assumptions!J$203</f>
        <v>46203</v>
      </c>
      <c r="K4" s="52" t="n">
        <f aca="false">Assumptions!K$203</f>
        <v>46234</v>
      </c>
      <c r="L4" s="52" t="n">
        <f aca="false">Assumptions!L$203</f>
        <v>46265</v>
      </c>
      <c r="M4" s="52" t="n">
        <f aca="false">Assumptions!M$203</f>
        <v>46295</v>
      </c>
      <c r="N4" s="52" t="n">
        <f aca="false">Assumptions!N$203</f>
        <v>46326</v>
      </c>
      <c r="O4" s="52" t="n">
        <f aca="false">Assumptions!O$203</f>
        <v>46356</v>
      </c>
      <c r="P4" s="52" t="n">
        <f aca="false">Assumptions!P$203</f>
        <v>46387</v>
      </c>
    </row>
    <row r="5" customFormat="false" ht="15" hidden="false" customHeight="false" outlineLevel="0" collapsed="false">
      <c r="A5" s="53" t="s">
        <v>345</v>
      </c>
      <c r="B5" s="54"/>
      <c r="C5" s="55" t="s">
        <v>346</v>
      </c>
      <c r="D5" s="55"/>
      <c r="E5" s="55" t="str">
        <f aca="false">Assumptions!E$205</f>
        <v>A</v>
      </c>
      <c r="F5" s="55" t="str">
        <f aca="false">Assumptions!F$205</f>
        <v>A</v>
      </c>
      <c r="G5" s="55" t="str">
        <f aca="false">Assumptions!G$205</f>
        <v>A</v>
      </c>
      <c r="H5" s="55" t="str">
        <f aca="false">Assumptions!H$205</f>
        <v>A</v>
      </c>
      <c r="I5" s="55" t="str">
        <f aca="false">Assumptions!I$205</f>
        <v>A</v>
      </c>
      <c r="J5" s="55" t="str">
        <f aca="false">Assumptions!J$205</f>
        <v>A</v>
      </c>
      <c r="K5" s="55" t="str">
        <f aca="false">Assumptions!K$205</f>
        <v>A</v>
      </c>
      <c r="L5" s="55" t="str">
        <f aca="false">Assumptions!L$205</f>
        <v>A</v>
      </c>
      <c r="M5" s="55" t="str">
        <f aca="false">Assumptions!M$205</f>
        <v>F</v>
      </c>
      <c r="N5" s="55" t="str">
        <f aca="false">Assumptions!N$205</f>
        <v>F</v>
      </c>
      <c r="O5" s="55" t="str">
        <f aca="false">Assumptions!O$205</f>
        <v>F</v>
      </c>
      <c r="P5" s="55" t="str">
        <f aca="false">Assumptions!P$205</f>
        <v>F</v>
      </c>
    </row>
    <row r="6" customFormat="false" ht="15" hidden="false" customHeight="false" outlineLevel="0" collapsed="false">
      <c r="A6" s="56" t="s">
        <v>348</v>
      </c>
      <c r="E6" s="57" t="n">
        <f aca="false">Assumptions!E$204</f>
        <v>1</v>
      </c>
      <c r="F6" s="57" t="n">
        <f aca="false">Assumptions!F$204</f>
        <v>2</v>
      </c>
      <c r="G6" s="57" t="n">
        <f aca="false">Assumptions!G$204</f>
        <v>3</v>
      </c>
      <c r="H6" s="57" t="n">
        <f aca="false">Assumptions!H$204</f>
        <v>4</v>
      </c>
      <c r="I6" s="57" t="n">
        <f aca="false">Assumptions!I$204</f>
        <v>5</v>
      </c>
      <c r="J6" s="57" t="n">
        <f aca="false">Assumptions!J$204</f>
        <v>6</v>
      </c>
      <c r="K6" s="57" t="n">
        <f aca="false">Assumptions!K$204</f>
        <v>7</v>
      </c>
      <c r="L6" s="57" t="n">
        <f aca="false">Assumptions!L$204</f>
        <v>8</v>
      </c>
      <c r="M6" s="57" t="n">
        <f aca="false">Assumptions!M$204</f>
        <v>9</v>
      </c>
      <c r="N6" s="57" t="n">
        <f aca="false">Assumptions!N$204</f>
        <v>10</v>
      </c>
      <c r="O6" s="57" t="n">
        <f aca="false">Assumptions!O$204</f>
        <v>11</v>
      </c>
      <c r="P6" s="57" t="n">
        <f aca="false">Assumptions!P$204</f>
        <v>12</v>
      </c>
    </row>
    <row r="8" customFormat="false" ht="15" hidden="false" customHeight="false" outlineLevel="0" collapsed="false">
      <c r="A8" s="22" t="s">
        <v>406</v>
      </c>
      <c r="B8" s="23"/>
      <c r="C8" s="23"/>
      <c r="D8" s="23"/>
      <c r="E8" s="23"/>
      <c r="F8" s="23"/>
      <c r="G8" s="23"/>
      <c r="H8" s="23"/>
      <c r="I8" s="23"/>
      <c r="J8" s="23"/>
      <c r="K8" s="23"/>
      <c r="L8" s="23"/>
      <c r="M8" s="23"/>
      <c r="N8" s="23"/>
      <c r="O8" s="23"/>
      <c r="P8" s="23"/>
    </row>
    <row r="9" customFormat="false" ht="15" hidden="false" customHeight="false" outlineLevel="0" collapsed="false">
      <c r="A9" s="28" t="s">
        <v>400</v>
      </c>
      <c r="B9" s="62" t="s">
        <v>2316</v>
      </c>
      <c r="C9" s="64" t="n">
        <f aca="false">SUM(E9:P9)</f>
        <v>1018411.47</v>
      </c>
      <c r="E9" s="107" t="n">
        <v>75885.46</v>
      </c>
      <c r="F9" s="107" t="n">
        <v>80377.1</v>
      </c>
      <c r="G9" s="107" t="n">
        <v>79610.28</v>
      </c>
      <c r="H9" s="107" t="n">
        <v>81828.43</v>
      </c>
      <c r="I9" s="107" t="n">
        <v>81527.66</v>
      </c>
      <c r="J9" s="107" t="n">
        <v>83727.17</v>
      </c>
      <c r="K9" s="107" t="n">
        <v>84939.71</v>
      </c>
      <c r="L9" s="107" t="n">
        <v>82422.82</v>
      </c>
      <c r="M9" s="107" t="n">
        <v>86831.85</v>
      </c>
      <c r="N9" s="107" t="n">
        <v>90832.3</v>
      </c>
      <c r="O9" s="107" t="n">
        <v>94867.79</v>
      </c>
      <c r="P9" s="107" t="n">
        <v>95560.9</v>
      </c>
    </row>
    <row r="10" customFormat="false" ht="15" hidden="false" customHeight="false" outlineLevel="0" collapsed="false">
      <c r="A10" s="28" t="s">
        <v>401</v>
      </c>
      <c r="B10" s="62" t="s">
        <v>2316</v>
      </c>
      <c r="C10" s="64" t="n">
        <f aca="false">SUM(E10:P10)</f>
        <v>2120761.84</v>
      </c>
      <c r="E10" s="107" t="n">
        <v>149907.33</v>
      </c>
      <c r="F10" s="107" t="n">
        <v>155406.42</v>
      </c>
      <c r="G10" s="107" t="n">
        <v>161074.4</v>
      </c>
      <c r="H10" s="107" t="n">
        <v>166043.2</v>
      </c>
      <c r="I10" s="107" t="n">
        <v>170795.37</v>
      </c>
      <c r="J10" s="107" t="n">
        <v>175651.52</v>
      </c>
      <c r="K10" s="107" t="n">
        <v>179494.33</v>
      </c>
      <c r="L10" s="107" t="n">
        <v>182014.25</v>
      </c>
      <c r="M10" s="107" t="n">
        <v>187406.5</v>
      </c>
      <c r="N10" s="107" t="n">
        <v>192897.41</v>
      </c>
      <c r="O10" s="107" t="n">
        <v>197919.25</v>
      </c>
      <c r="P10" s="107" t="n">
        <v>202151.86</v>
      </c>
    </row>
    <row r="11" customFormat="false" ht="15" hidden="false" customHeight="false" outlineLevel="0" collapsed="false">
      <c r="A11" s="28" t="s">
        <v>402</v>
      </c>
      <c r="B11" s="62" t="s">
        <v>2316</v>
      </c>
      <c r="C11" s="64" t="n">
        <f aca="false">SUM(E11:P11)</f>
        <v>424152.36</v>
      </c>
      <c r="E11" s="107" t="n">
        <v>29981.47</v>
      </c>
      <c r="F11" s="107" t="n">
        <v>31081.28</v>
      </c>
      <c r="G11" s="107" t="n">
        <v>32214.88</v>
      </c>
      <c r="H11" s="107" t="n">
        <v>33208.64</v>
      </c>
      <c r="I11" s="107" t="n">
        <v>34159.07</v>
      </c>
      <c r="J11" s="107" t="n">
        <v>35130.3</v>
      </c>
      <c r="K11" s="107" t="n">
        <v>35898.87</v>
      </c>
      <c r="L11" s="107" t="n">
        <v>36402.85</v>
      </c>
      <c r="M11" s="107" t="n">
        <v>37481.3</v>
      </c>
      <c r="N11" s="107" t="n">
        <v>38579.48</v>
      </c>
      <c r="O11" s="107" t="n">
        <v>39583.85</v>
      </c>
      <c r="P11" s="107" t="n">
        <v>40430.37</v>
      </c>
    </row>
    <row r="12" customFormat="false" ht="15" hidden="false" customHeight="false" outlineLevel="0" collapsed="false">
      <c r="A12" s="28" t="s">
        <v>563</v>
      </c>
      <c r="B12" s="62" t="s">
        <v>2316</v>
      </c>
      <c r="C12" s="64" t="n">
        <f aca="false">SUM(E12:P12)</f>
        <v>3311667.77</v>
      </c>
      <c r="E12" s="107" t="n">
        <v>237421.35</v>
      </c>
      <c r="F12" s="107" t="n">
        <v>203599.79</v>
      </c>
      <c r="G12" s="107" t="n">
        <v>271955.39</v>
      </c>
      <c r="H12" s="107" t="n">
        <v>222790.34</v>
      </c>
      <c r="I12" s="107" t="n">
        <v>266594.46</v>
      </c>
      <c r="J12" s="107" t="n">
        <v>284279.41</v>
      </c>
      <c r="K12" s="107" t="n">
        <v>282634.34</v>
      </c>
      <c r="L12" s="107" t="n">
        <v>287455.23</v>
      </c>
      <c r="M12" s="107" t="n">
        <v>375994.48</v>
      </c>
      <c r="N12" s="107" t="n">
        <v>286750.21</v>
      </c>
      <c r="O12" s="107" t="n">
        <v>292931.81</v>
      </c>
      <c r="P12" s="107" t="n">
        <v>299260.96</v>
      </c>
    </row>
    <row r="13" customFormat="false" ht="15" hidden="false" customHeight="false" outlineLevel="0" collapsed="false">
      <c r="A13" s="58" t="s">
        <v>406</v>
      </c>
      <c r="B13" s="59"/>
      <c r="C13" s="60" t="n">
        <f aca="false">SUM(E13:P13)</f>
        <v>6874993.44</v>
      </c>
      <c r="D13" s="157"/>
      <c r="E13" s="60" t="n">
        <f aca="false">E9+E10+E11+E12</f>
        <v>493195.61</v>
      </c>
      <c r="F13" s="60" t="n">
        <f aca="false">F9+F10+F11+F12</f>
        <v>470464.59</v>
      </c>
      <c r="G13" s="60" t="n">
        <f aca="false">G9+G10+G11+G12</f>
        <v>544854.95</v>
      </c>
      <c r="H13" s="60" t="n">
        <f aca="false">H9+H10+H11+H12</f>
        <v>503870.61</v>
      </c>
      <c r="I13" s="60" t="n">
        <f aca="false">I9+I10+I11+I12</f>
        <v>553076.56</v>
      </c>
      <c r="J13" s="60" t="n">
        <f aca="false">J9+J10+J11+J12</f>
        <v>578788.4</v>
      </c>
      <c r="K13" s="60" t="n">
        <f aca="false">K9+K10+K11+K12</f>
        <v>582967.25</v>
      </c>
      <c r="L13" s="60" t="n">
        <f aca="false">L9+L10+L11+L12</f>
        <v>588295.15</v>
      </c>
      <c r="M13" s="60" t="n">
        <f aca="false">M9+M10+M11+M12</f>
        <v>687714.13</v>
      </c>
      <c r="N13" s="60" t="n">
        <f aca="false">N9+N10+N11+N12</f>
        <v>609059.4</v>
      </c>
      <c r="O13" s="60" t="n">
        <f aca="false">O9+O10+O11+O12</f>
        <v>625302.7</v>
      </c>
      <c r="P13" s="60" t="n">
        <f aca="false">P9+P10+P11+P12</f>
        <v>637404.09</v>
      </c>
    </row>
    <row r="14" customFormat="false" ht="15" hidden="false" customHeight="false" outlineLevel="0" collapsed="false">
      <c r="A14" s="22" t="s">
        <v>2317</v>
      </c>
      <c r="B14" s="23"/>
      <c r="C14" s="23"/>
      <c r="D14" s="23"/>
      <c r="E14" s="23"/>
      <c r="F14" s="23"/>
      <c r="G14" s="23"/>
      <c r="H14" s="23"/>
      <c r="I14" s="23"/>
      <c r="J14" s="23"/>
      <c r="K14" s="23"/>
      <c r="L14" s="23"/>
      <c r="M14" s="23"/>
      <c r="N14" s="23"/>
      <c r="O14" s="23"/>
      <c r="P14" s="23"/>
    </row>
    <row r="15" customFormat="false" ht="15" hidden="false" customHeight="false" outlineLevel="0" collapsed="false">
      <c r="A15" s="28" t="s">
        <v>408</v>
      </c>
      <c r="B15" s="62" t="s">
        <v>2316</v>
      </c>
      <c r="C15" s="64" t="n">
        <f aca="false">SUM(E15:P15)</f>
        <v>-219472.86</v>
      </c>
      <c r="E15" s="107" t="n">
        <v>-17557.09</v>
      </c>
      <c r="F15" s="107" t="n">
        <v>-16523.22</v>
      </c>
      <c r="G15" s="107" t="n">
        <v>-17589.86</v>
      </c>
      <c r="H15" s="107" t="n">
        <v>-17222.21</v>
      </c>
      <c r="I15" s="107" t="n">
        <v>-18030.88</v>
      </c>
      <c r="J15" s="107" t="n">
        <v>-18269.93</v>
      </c>
      <c r="K15" s="107" t="n">
        <v>-18047.12</v>
      </c>
      <c r="L15" s="107" t="n">
        <v>-18653.31</v>
      </c>
      <c r="M15" s="107" t="n">
        <v>-18960.78</v>
      </c>
      <c r="N15" s="107" t="n">
        <v>-19200.17</v>
      </c>
      <c r="O15" s="107" t="n">
        <v>-19484.17</v>
      </c>
      <c r="P15" s="107" t="n">
        <v>-19934.12</v>
      </c>
    </row>
    <row r="16" customFormat="false" ht="15" hidden="false" customHeight="false" outlineLevel="0" collapsed="false">
      <c r="A16" s="28" t="s">
        <v>409</v>
      </c>
      <c r="B16" s="62" t="s">
        <v>2316</v>
      </c>
      <c r="C16" s="64" t="n">
        <f aca="false">SUM(E16:P16)</f>
        <v>0</v>
      </c>
      <c r="E16" s="107" t="n">
        <v>0</v>
      </c>
      <c r="F16" s="107" t="n">
        <v>0</v>
      </c>
      <c r="G16" s="107" t="n">
        <v>0</v>
      </c>
      <c r="H16" s="107" t="n">
        <v>0</v>
      </c>
      <c r="I16" s="107" t="n">
        <v>0</v>
      </c>
      <c r="J16" s="107" t="n">
        <v>0</v>
      </c>
      <c r="K16" s="107" t="n">
        <v>0</v>
      </c>
      <c r="L16" s="107" t="n">
        <v>0</v>
      </c>
      <c r="M16" s="107" t="n">
        <v>0</v>
      </c>
      <c r="N16" s="107" t="n">
        <v>0</v>
      </c>
      <c r="O16" s="107" t="n">
        <v>0</v>
      </c>
      <c r="P16" s="107" t="n">
        <v>0</v>
      </c>
    </row>
    <row r="17" customFormat="false" ht="15" hidden="false" customHeight="false" outlineLevel="0" collapsed="false">
      <c r="A17" s="28" t="s">
        <v>564</v>
      </c>
      <c r="B17" s="62" t="s">
        <v>2316</v>
      </c>
      <c r="C17" s="64" t="n">
        <f aca="false">SUM(E17:P17)</f>
        <v>-994011.35</v>
      </c>
      <c r="E17" s="107" t="n">
        <v>-81548.32</v>
      </c>
      <c r="F17" s="107" t="n">
        <v>-83596.73</v>
      </c>
      <c r="G17" s="107" t="n">
        <v>-88134.89</v>
      </c>
      <c r="H17" s="107" t="n">
        <v>-72114.72</v>
      </c>
      <c r="I17" s="107" t="n">
        <v>-75618.38</v>
      </c>
      <c r="J17" s="107" t="n">
        <v>-77357.13</v>
      </c>
      <c r="K17" s="107" t="n">
        <v>-78860.38</v>
      </c>
      <c r="L17" s="107" t="n">
        <v>-81966.14</v>
      </c>
      <c r="M17" s="107" t="n">
        <v>-84097.68</v>
      </c>
      <c r="N17" s="107" t="n">
        <v>-88212.75</v>
      </c>
      <c r="O17" s="107" t="n">
        <v>-90307.62</v>
      </c>
      <c r="P17" s="107" t="n">
        <v>-92196.61</v>
      </c>
    </row>
    <row r="18" customFormat="false" ht="15" hidden="false" customHeight="false" outlineLevel="0" collapsed="false">
      <c r="A18" s="28" t="s">
        <v>565</v>
      </c>
      <c r="B18" s="62" t="s">
        <v>2316</v>
      </c>
      <c r="C18" s="64" t="n">
        <f aca="false">SUM(E18:P18)</f>
        <v>-117525.03</v>
      </c>
      <c r="E18" s="107" t="n">
        <v>-8080.29</v>
      </c>
      <c r="F18" s="107" t="n">
        <v>-8284.62</v>
      </c>
      <c r="G18" s="107" t="n">
        <v>-8754.38</v>
      </c>
      <c r="H18" s="107" t="n">
        <v>-8954.54</v>
      </c>
      <c r="I18" s="107" t="n">
        <v>-9407.6</v>
      </c>
      <c r="J18" s="107" t="n">
        <v>-9627.11</v>
      </c>
      <c r="K18" s="107" t="n">
        <v>-9815.78</v>
      </c>
      <c r="L18" s="107" t="n">
        <v>-10218.02</v>
      </c>
      <c r="M18" s="107" t="n">
        <v>-10494.32</v>
      </c>
      <c r="N18" s="107" t="n">
        <v>-11034.95</v>
      </c>
      <c r="O18" s="107" t="n">
        <v>-11305.44</v>
      </c>
      <c r="P18" s="107" t="n">
        <v>-11547.98</v>
      </c>
    </row>
    <row r="19" customFormat="false" ht="15" hidden="false" customHeight="false" outlineLevel="0" collapsed="false">
      <c r="A19" s="28" t="s">
        <v>412</v>
      </c>
      <c r="B19" s="62" t="s">
        <v>2316</v>
      </c>
      <c r="C19" s="64" t="n">
        <f aca="false">SUM(E19:P19)</f>
        <v>-360288.85</v>
      </c>
      <c r="E19" s="107" t="n">
        <v>-27662.79</v>
      </c>
      <c r="F19" s="107" t="n">
        <v>-27944.11</v>
      </c>
      <c r="G19" s="107" t="n">
        <v>-28590.39</v>
      </c>
      <c r="H19" s="107" t="n">
        <v>-28867</v>
      </c>
      <c r="I19" s="107" t="n">
        <v>-29491.78</v>
      </c>
      <c r="J19" s="107" t="n">
        <v>-29794.54</v>
      </c>
      <c r="K19" s="107" t="n">
        <v>-30055.96</v>
      </c>
      <c r="L19" s="107" t="n">
        <v>-30612.86</v>
      </c>
      <c r="M19" s="107" t="n">
        <v>-30991.45</v>
      </c>
      <c r="N19" s="107" t="n">
        <v>-31733.59</v>
      </c>
      <c r="O19" s="107" t="n">
        <v>-32105.07</v>
      </c>
      <c r="P19" s="107" t="n">
        <v>-32439.31</v>
      </c>
    </row>
    <row r="20" customFormat="false" ht="15" hidden="false" customHeight="false" outlineLevel="0" collapsed="false">
      <c r="A20" s="28" t="s">
        <v>414</v>
      </c>
      <c r="B20" s="62" t="s">
        <v>2316</v>
      </c>
      <c r="C20" s="64" t="n">
        <f aca="false">SUM(E20:P20)</f>
        <v>-77911.92</v>
      </c>
      <c r="E20" s="107" t="n">
        <v>-5641.92</v>
      </c>
      <c r="F20" s="107" t="n">
        <v>-5784</v>
      </c>
      <c r="G20" s="107" t="n">
        <v>-6000.22</v>
      </c>
      <c r="H20" s="107" t="n">
        <v>-6100.09</v>
      </c>
      <c r="I20" s="107" t="n">
        <v>-6248.13</v>
      </c>
      <c r="J20" s="107" t="n">
        <v>-6438.67</v>
      </c>
      <c r="K20" s="107" t="n">
        <v>-6460.02</v>
      </c>
      <c r="L20" s="107" t="n">
        <v>-6385.4</v>
      </c>
      <c r="M20" s="107" t="n">
        <v>-6971.37</v>
      </c>
      <c r="N20" s="107" t="n">
        <v>-7186.58</v>
      </c>
      <c r="O20" s="107" t="n">
        <v>-7317</v>
      </c>
      <c r="P20" s="107" t="n">
        <v>-7378.52</v>
      </c>
    </row>
    <row r="21" customFormat="false" ht="15" hidden="false" customHeight="false" outlineLevel="0" collapsed="false">
      <c r="A21" s="28" t="s">
        <v>415</v>
      </c>
      <c r="B21" s="62" t="s">
        <v>2316</v>
      </c>
      <c r="C21" s="64" t="n">
        <f aca="false">SUM(E21:P21)</f>
        <v>-919241.72</v>
      </c>
      <c r="E21" s="107" t="n">
        <v>-68113.8</v>
      </c>
      <c r="F21" s="107" t="n">
        <v>-65231.06</v>
      </c>
      <c r="G21" s="107" t="n">
        <v>-74569.49</v>
      </c>
      <c r="H21" s="107" t="n">
        <v>-71557.15</v>
      </c>
      <c r="I21" s="107" t="n">
        <v>-77519.01</v>
      </c>
      <c r="J21" s="107" t="n">
        <v>-80838.26</v>
      </c>
      <c r="K21" s="107" t="n">
        <v>-71130.58</v>
      </c>
      <c r="L21" s="107" t="n">
        <v>-58821.69</v>
      </c>
      <c r="M21" s="107" t="n">
        <v>-89219.42</v>
      </c>
      <c r="N21" s="107" t="n">
        <v>-87319.91</v>
      </c>
      <c r="O21" s="107" t="n">
        <v>-89251.24</v>
      </c>
      <c r="P21" s="107" t="n">
        <v>-85670.11</v>
      </c>
    </row>
    <row r="22" customFormat="false" ht="15" hidden="false" customHeight="false" outlineLevel="0" collapsed="false">
      <c r="A22" s="28" t="s">
        <v>566</v>
      </c>
      <c r="B22" s="62" t="s">
        <v>2316</v>
      </c>
      <c r="C22" s="64" t="n">
        <f aca="false">SUM(E22:P22)</f>
        <v>0</v>
      </c>
      <c r="E22" s="107" t="n">
        <v>0</v>
      </c>
      <c r="F22" s="107" t="n">
        <v>0</v>
      </c>
      <c r="G22" s="107" t="n">
        <v>0</v>
      </c>
      <c r="H22" s="107" t="n">
        <v>0</v>
      </c>
      <c r="I22" s="107" t="n">
        <v>0</v>
      </c>
      <c r="J22" s="107" t="n">
        <v>0</v>
      </c>
      <c r="K22" s="107" t="n">
        <v>0</v>
      </c>
      <c r="L22" s="107" t="n">
        <v>0</v>
      </c>
      <c r="M22" s="107" t="n">
        <v>0</v>
      </c>
      <c r="N22" s="107" t="n">
        <v>0</v>
      </c>
      <c r="O22" s="107" t="n">
        <v>0</v>
      </c>
      <c r="P22" s="107" t="n">
        <v>0</v>
      </c>
    </row>
    <row r="23" customFormat="false" ht="15" hidden="false" customHeight="false" outlineLevel="0" collapsed="false">
      <c r="A23" s="58" t="s">
        <v>416</v>
      </c>
      <c r="B23" s="59"/>
      <c r="C23" s="60" t="n">
        <f aca="false">SUM(E23:P23)</f>
        <v>-2688451.73</v>
      </c>
      <c r="D23" s="157"/>
      <c r="E23" s="60" t="n">
        <f aca="false">E15+E16+E17+E18+E19+E20+E21+E22</f>
        <v>-208604.21</v>
      </c>
      <c r="F23" s="60" t="n">
        <f aca="false">F15+F16+F17+F18+F19+F20+F21+F22</f>
        <v>-207363.74</v>
      </c>
      <c r="G23" s="60" t="n">
        <f aca="false">G15+G16+G17+G18+G19+G20+G21+G22</f>
        <v>-223639.23</v>
      </c>
      <c r="H23" s="60" t="n">
        <f aca="false">H15+H16+H17+H18+H19+H20+H21+H22</f>
        <v>-204815.71</v>
      </c>
      <c r="I23" s="60" t="n">
        <f aca="false">I15+I16+I17+I18+I19+I20+I21+I22</f>
        <v>-216315.78</v>
      </c>
      <c r="J23" s="60" t="n">
        <f aca="false">J15+J16+J17+J18+J19+J20+J21+J22</f>
        <v>-222325.64</v>
      </c>
      <c r="K23" s="60" t="n">
        <f aca="false">K15+K16+K17+K18+K19+K20+K21+K22</f>
        <v>-214369.84</v>
      </c>
      <c r="L23" s="60" t="n">
        <f aca="false">L15+L16+L17+L18+L19+L20+L21+L22</f>
        <v>-206657.42</v>
      </c>
      <c r="M23" s="60" t="n">
        <f aca="false">M15+M16+M17+M18+M19+M20+M21+M22</f>
        <v>-240735.02</v>
      </c>
      <c r="N23" s="60" t="n">
        <f aca="false">N15+N16+N17+N18+N19+N20+N21+N22</f>
        <v>-244687.95</v>
      </c>
      <c r="O23" s="60" t="n">
        <f aca="false">O15+O16+O17+O18+O19+O20+O21+O22</f>
        <v>-249770.54</v>
      </c>
      <c r="P23" s="60" t="n">
        <f aca="false">P15+P16+P17+P18+P19+P20+P21+P22</f>
        <v>-249166.65</v>
      </c>
    </row>
    <row r="24" customFormat="false" ht="15" hidden="false" customHeight="false" outlineLevel="0" collapsed="false">
      <c r="A24" s="58" t="s">
        <v>417</v>
      </c>
      <c r="B24" s="59"/>
      <c r="C24" s="60" t="n">
        <f aca="false">SUM(E24:P24)</f>
        <v>4186541.71</v>
      </c>
      <c r="D24" s="157"/>
      <c r="E24" s="60" t="n">
        <f aca="false">E13+E23</f>
        <v>284591.4</v>
      </c>
      <c r="F24" s="60" t="n">
        <f aca="false">F13+F23</f>
        <v>263100.85</v>
      </c>
      <c r="G24" s="60" t="n">
        <f aca="false">G13+G23</f>
        <v>321215.72</v>
      </c>
      <c r="H24" s="60" t="n">
        <f aca="false">H13+H23</f>
        <v>299054.9</v>
      </c>
      <c r="I24" s="60" t="n">
        <f aca="false">I13+I23</f>
        <v>336760.78</v>
      </c>
      <c r="J24" s="60" t="n">
        <f aca="false">J13+J23</f>
        <v>356462.76</v>
      </c>
      <c r="K24" s="60" t="n">
        <f aca="false">K13+K23</f>
        <v>368597.41</v>
      </c>
      <c r="L24" s="60" t="n">
        <f aca="false">L13+L23</f>
        <v>381637.73</v>
      </c>
      <c r="M24" s="60" t="n">
        <f aca="false">M13+M23</f>
        <v>446979.11</v>
      </c>
      <c r="N24" s="60" t="n">
        <f aca="false">N13+N23</f>
        <v>364371.45</v>
      </c>
      <c r="O24" s="60" t="n">
        <f aca="false">O13+O23</f>
        <v>375532.16</v>
      </c>
      <c r="P24" s="60" t="n">
        <f aca="false">P13+P23</f>
        <v>388237.44</v>
      </c>
    </row>
    <row r="25" customFormat="false" ht="15" hidden="false" customHeight="false" outlineLevel="0" collapsed="false">
      <c r="A25" s="22" t="s">
        <v>2318</v>
      </c>
      <c r="B25" s="23"/>
      <c r="C25" s="23"/>
      <c r="D25" s="23"/>
      <c r="E25" s="23"/>
      <c r="F25" s="23"/>
      <c r="G25" s="23"/>
      <c r="H25" s="23"/>
      <c r="I25" s="23"/>
      <c r="J25" s="23"/>
      <c r="K25" s="23"/>
      <c r="L25" s="23"/>
      <c r="M25" s="23"/>
      <c r="N25" s="23"/>
      <c r="O25" s="23"/>
      <c r="P25" s="23"/>
    </row>
    <row r="26" customFormat="false" ht="15" hidden="false" customHeight="false" outlineLevel="0" collapsed="false">
      <c r="A26" s="28" t="s">
        <v>421</v>
      </c>
      <c r="B26" s="62" t="s">
        <v>2316</v>
      </c>
      <c r="C26" s="64" t="n">
        <f aca="false">SUM(E26:P26)</f>
        <v>-5343359.94</v>
      </c>
      <c r="E26" s="107" t="n">
        <v>-420725.76</v>
      </c>
      <c r="F26" s="107" t="n">
        <v>-414423.15</v>
      </c>
      <c r="G26" s="107" t="n">
        <v>-441449.4</v>
      </c>
      <c r="H26" s="107" t="n">
        <v>-432733.18</v>
      </c>
      <c r="I26" s="107" t="n">
        <v>-439909.64</v>
      </c>
      <c r="J26" s="107" t="n">
        <v>-467986.43</v>
      </c>
      <c r="K26" s="107" t="n">
        <v>-413529.75</v>
      </c>
      <c r="L26" s="107" t="n">
        <v>-362087.85</v>
      </c>
      <c r="M26" s="107" t="n">
        <v>-488691.62</v>
      </c>
      <c r="N26" s="107" t="n">
        <v>-486626.83</v>
      </c>
      <c r="O26" s="107" t="n">
        <v>-498021.18</v>
      </c>
      <c r="P26" s="107" t="n">
        <v>-477175.15</v>
      </c>
    </row>
    <row r="27" customFormat="false" ht="15" hidden="false" customHeight="false" outlineLevel="0" collapsed="false">
      <c r="A27" s="28" t="s">
        <v>568</v>
      </c>
      <c r="B27" s="62" t="s">
        <v>2316</v>
      </c>
      <c r="C27" s="64" t="n">
        <f aca="false">SUM(E27:P27)</f>
        <v>-28992.6</v>
      </c>
      <c r="E27" s="107" t="n">
        <v>-3545.45</v>
      </c>
      <c r="F27" s="107" t="n">
        <v>-2537.14</v>
      </c>
      <c r="G27" s="107" t="n">
        <v>-3512.69</v>
      </c>
      <c r="H27" s="107" t="n">
        <v>-3199.61</v>
      </c>
      <c r="I27" s="107" t="n">
        <v>-3071.67</v>
      </c>
      <c r="J27" s="107" t="n">
        <v>-2151.89</v>
      </c>
      <c r="K27" s="107" t="n">
        <v>-3055.43</v>
      </c>
      <c r="L27" s="107" t="n">
        <v>-2449.23</v>
      </c>
      <c r="M27" s="107" t="n">
        <v>-1461.04</v>
      </c>
      <c r="N27" s="107" t="n">
        <v>-1902.38</v>
      </c>
      <c r="O27" s="107" t="n">
        <v>-937.65</v>
      </c>
      <c r="P27" s="107" t="n">
        <v>-1168.42</v>
      </c>
    </row>
    <row r="28" customFormat="false" ht="15" hidden="false" customHeight="false" outlineLevel="0" collapsed="false">
      <c r="A28" s="28" t="s">
        <v>423</v>
      </c>
      <c r="B28" s="62" t="s">
        <v>2316</v>
      </c>
      <c r="C28" s="64" t="n">
        <f aca="false">SUM(E28:P28)</f>
        <v>-1857912.09</v>
      </c>
      <c r="E28" s="107" t="n">
        <v>-115008.77</v>
      </c>
      <c r="F28" s="107" t="n">
        <v>-164360.02</v>
      </c>
      <c r="G28" s="107" t="n">
        <v>-158440.22</v>
      </c>
      <c r="H28" s="107" t="n">
        <v>-160023.42</v>
      </c>
      <c r="I28" s="107" t="n">
        <v>-142615.93</v>
      </c>
      <c r="J28" s="107" t="n">
        <v>-176795.49</v>
      </c>
      <c r="K28" s="107" t="n">
        <v>-144026.68</v>
      </c>
      <c r="L28" s="107" t="n">
        <v>-123949.63</v>
      </c>
      <c r="M28" s="107" t="n">
        <v>-165426.34</v>
      </c>
      <c r="N28" s="107" t="n">
        <v>-199978.06</v>
      </c>
      <c r="O28" s="107" t="n">
        <v>-164927.01</v>
      </c>
      <c r="P28" s="107" t="n">
        <v>-142360.52</v>
      </c>
    </row>
    <row r="29" customFormat="false" ht="15" hidden="false" customHeight="false" outlineLevel="0" collapsed="false">
      <c r="A29" s="28" t="s">
        <v>424</v>
      </c>
      <c r="B29" s="62" t="s">
        <v>2316</v>
      </c>
      <c r="C29" s="64" t="n">
        <f aca="false">SUM(E29:P29)</f>
        <v>-435600</v>
      </c>
      <c r="E29" s="107" t="n">
        <v>-36000</v>
      </c>
      <c r="F29" s="107" t="n">
        <v>-36000</v>
      </c>
      <c r="G29" s="107" t="n">
        <v>-41400</v>
      </c>
      <c r="H29" s="107" t="n">
        <v>-36000</v>
      </c>
      <c r="I29" s="107" t="n">
        <v>-36000</v>
      </c>
      <c r="J29" s="107" t="n">
        <v>-36000</v>
      </c>
      <c r="K29" s="107" t="n">
        <v>-36000</v>
      </c>
      <c r="L29" s="107" t="n">
        <v>-28800</v>
      </c>
      <c r="M29" s="107" t="n">
        <v>-36000</v>
      </c>
      <c r="N29" s="107" t="n">
        <v>-41400</v>
      </c>
      <c r="O29" s="107" t="n">
        <v>-36000</v>
      </c>
      <c r="P29" s="107" t="n">
        <v>-36000</v>
      </c>
    </row>
    <row r="30" customFormat="false" ht="15" hidden="false" customHeight="false" outlineLevel="0" collapsed="false">
      <c r="A30" s="28" t="s">
        <v>425</v>
      </c>
      <c r="B30" s="62" t="s">
        <v>2316</v>
      </c>
      <c r="C30" s="64" t="n">
        <f aca="false">SUM(E30:P30)</f>
        <v>-189000</v>
      </c>
      <c r="E30" s="107" t="n">
        <v>-14000</v>
      </c>
      <c r="F30" s="107" t="n">
        <v>-14000</v>
      </c>
      <c r="G30" s="107" t="n">
        <v>-14000</v>
      </c>
      <c r="H30" s="107" t="n">
        <v>-14000</v>
      </c>
      <c r="I30" s="107" t="n">
        <v>-14000</v>
      </c>
      <c r="J30" s="107" t="n">
        <v>-35000</v>
      </c>
      <c r="K30" s="107" t="n">
        <v>-14000</v>
      </c>
      <c r="L30" s="107" t="n">
        <v>-14000</v>
      </c>
      <c r="M30" s="107" t="n">
        <v>-14000</v>
      </c>
      <c r="N30" s="107" t="n">
        <v>-14000</v>
      </c>
      <c r="O30" s="107" t="n">
        <v>-14000</v>
      </c>
      <c r="P30" s="107" t="n">
        <v>-14000</v>
      </c>
    </row>
    <row r="31" customFormat="false" ht="15" hidden="false" customHeight="false" outlineLevel="0" collapsed="false">
      <c r="A31" s="28" t="s">
        <v>426</v>
      </c>
      <c r="B31" s="62" t="s">
        <v>2316</v>
      </c>
      <c r="C31" s="64" t="n">
        <f aca="false">SUM(E31:P31)</f>
        <v>-828749.55</v>
      </c>
      <c r="E31" s="107" t="n">
        <v>-67540.72</v>
      </c>
      <c r="F31" s="107" t="n">
        <v>-64718.92</v>
      </c>
      <c r="G31" s="107" t="n">
        <v>-73725.65</v>
      </c>
      <c r="H31" s="107" t="n">
        <v>-70789.57</v>
      </c>
      <c r="I31" s="107" t="n">
        <v>-70008.03</v>
      </c>
      <c r="J31" s="107" t="n">
        <v>-72979.89</v>
      </c>
      <c r="K31" s="107" t="n">
        <v>-64048.51</v>
      </c>
      <c r="L31" s="107" t="n">
        <v>-51383.18</v>
      </c>
      <c r="M31" s="107" t="n">
        <v>-74494.71</v>
      </c>
      <c r="N31" s="107" t="n">
        <v>-72947.38</v>
      </c>
      <c r="O31" s="107" t="n">
        <v>-74521.3</v>
      </c>
      <c r="P31" s="107" t="n">
        <v>-71591.69</v>
      </c>
    </row>
    <row r="32" customFormat="false" ht="15" hidden="false" customHeight="false" outlineLevel="0" collapsed="false">
      <c r="A32" s="28" t="s">
        <v>427</v>
      </c>
      <c r="B32" s="62" t="s">
        <v>2316</v>
      </c>
      <c r="C32" s="64" t="n">
        <f aca="false">SUM(E32:P32)</f>
        <v>-231600</v>
      </c>
      <c r="E32" s="107" t="n">
        <v>-17040</v>
      </c>
      <c r="F32" s="107" t="n">
        <v>-17520</v>
      </c>
      <c r="G32" s="107" t="n">
        <v>-18240</v>
      </c>
      <c r="H32" s="107" t="n">
        <v>-18720</v>
      </c>
      <c r="I32" s="107" t="n">
        <v>-19200</v>
      </c>
      <c r="J32" s="107" t="n">
        <v>-19440</v>
      </c>
      <c r="K32" s="107" t="n">
        <v>-19680</v>
      </c>
      <c r="L32" s="107" t="n">
        <v>-19920</v>
      </c>
      <c r="M32" s="107" t="n">
        <v>-20160</v>
      </c>
      <c r="N32" s="107" t="n">
        <v>-20400</v>
      </c>
      <c r="O32" s="107" t="n">
        <v>-20640</v>
      </c>
      <c r="P32" s="107" t="n">
        <v>-20640</v>
      </c>
    </row>
    <row r="33" customFormat="false" ht="15" hidden="false" customHeight="false" outlineLevel="0" collapsed="false">
      <c r="A33" s="28" t="s">
        <v>569</v>
      </c>
      <c r="B33" s="62" t="s">
        <v>2316</v>
      </c>
      <c r="C33" s="64" t="n">
        <f aca="false">SUM(E33:P33)</f>
        <v>-408000</v>
      </c>
      <c r="E33" s="107" t="n">
        <v>-34000</v>
      </c>
      <c r="F33" s="107" t="n">
        <v>-34000</v>
      </c>
      <c r="G33" s="107" t="n">
        <v>-34000</v>
      </c>
      <c r="H33" s="107" t="n">
        <v>-34000</v>
      </c>
      <c r="I33" s="107" t="n">
        <v>-34000</v>
      </c>
      <c r="J33" s="107" t="n">
        <v>-34000</v>
      </c>
      <c r="K33" s="107" t="n">
        <v>-34000</v>
      </c>
      <c r="L33" s="107" t="n">
        <v>-34000</v>
      </c>
      <c r="M33" s="107" t="n">
        <v>-34000</v>
      </c>
      <c r="N33" s="107" t="n">
        <v>-34000</v>
      </c>
      <c r="O33" s="107" t="n">
        <v>-34000</v>
      </c>
      <c r="P33" s="107" t="n">
        <v>-34000</v>
      </c>
    </row>
    <row r="34" customFormat="false" ht="15" hidden="false" customHeight="false" outlineLevel="0" collapsed="false">
      <c r="A34" s="28" t="s">
        <v>570</v>
      </c>
      <c r="B34" s="62" t="s">
        <v>2316</v>
      </c>
      <c r="C34" s="64" t="n">
        <f aca="false">SUM(E34:P34)</f>
        <v>-211200</v>
      </c>
      <c r="E34" s="107" t="n">
        <v>-16000</v>
      </c>
      <c r="F34" s="107" t="n">
        <v>-16000</v>
      </c>
      <c r="G34" s="107" t="n">
        <v>-35200</v>
      </c>
      <c r="H34" s="107" t="n">
        <v>-16000</v>
      </c>
      <c r="I34" s="107" t="n">
        <v>-16000</v>
      </c>
      <c r="J34" s="107" t="n">
        <v>-16000</v>
      </c>
      <c r="K34" s="107" t="n">
        <v>-16000</v>
      </c>
      <c r="L34" s="107" t="n">
        <v>-16000</v>
      </c>
      <c r="M34" s="107" t="n">
        <v>-16000</v>
      </c>
      <c r="N34" s="107" t="n">
        <v>-16000</v>
      </c>
      <c r="O34" s="107" t="n">
        <v>-16000</v>
      </c>
      <c r="P34" s="107" t="n">
        <v>-16000</v>
      </c>
    </row>
    <row r="35" customFormat="false" ht="15" hidden="false" customHeight="false" outlineLevel="0" collapsed="false">
      <c r="A35" s="28" t="s">
        <v>430</v>
      </c>
      <c r="B35" s="62" t="s">
        <v>2316</v>
      </c>
      <c r="C35" s="64" t="n">
        <f aca="false">SUM(E35:P35)</f>
        <v>-54000</v>
      </c>
      <c r="E35" s="107" t="n">
        <v>-4500</v>
      </c>
      <c r="F35" s="107" t="n">
        <v>-4500</v>
      </c>
      <c r="G35" s="107" t="n">
        <v>-4500</v>
      </c>
      <c r="H35" s="107" t="n">
        <v>-4500</v>
      </c>
      <c r="I35" s="107" t="n">
        <v>-4500</v>
      </c>
      <c r="J35" s="107" t="n">
        <v>-4500</v>
      </c>
      <c r="K35" s="107" t="n">
        <v>-4500</v>
      </c>
      <c r="L35" s="107" t="n">
        <v>-4500</v>
      </c>
      <c r="M35" s="107" t="n">
        <v>-4500</v>
      </c>
      <c r="N35" s="107" t="n">
        <v>-4500</v>
      </c>
      <c r="O35" s="107" t="n">
        <v>-4500</v>
      </c>
      <c r="P35" s="107" t="n">
        <v>-4500</v>
      </c>
    </row>
    <row r="36" customFormat="false" ht="15" hidden="false" customHeight="false" outlineLevel="0" collapsed="false">
      <c r="A36" s="28" t="s">
        <v>431</v>
      </c>
      <c r="B36" s="62" t="s">
        <v>2316</v>
      </c>
      <c r="C36" s="64" t="n">
        <f aca="false">SUM(E36:P36)</f>
        <v>-132000</v>
      </c>
      <c r="E36" s="107" t="n">
        <v>-8500</v>
      </c>
      <c r="F36" s="107" t="n">
        <v>-16000</v>
      </c>
      <c r="G36" s="107" t="n">
        <v>-23500</v>
      </c>
      <c r="H36" s="107" t="n">
        <v>-16000</v>
      </c>
      <c r="I36" s="107" t="n">
        <v>-16000</v>
      </c>
      <c r="J36" s="107" t="n">
        <v>-8500</v>
      </c>
      <c r="K36" s="107" t="n">
        <v>-8500</v>
      </c>
      <c r="L36" s="107" t="n">
        <v>-8500</v>
      </c>
      <c r="M36" s="107" t="n">
        <v>-8500</v>
      </c>
      <c r="N36" s="107" t="n">
        <v>-8500</v>
      </c>
      <c r="O36" s="107" t="n">
        <v>-8500</v>
      </c>
      <c r="P36" s="107" t="n">
        <v>-1000</v>
      </c>
    </row>
    <row r="37" customFormat="false" ht="15" hidden="false" customHeight="false" outlineLevel="0" collapsed="false">
      <c r="A37" s="28" t="s">
        <v>432</v>
      </c>
      <c r="B37" s="62" t="s">
        <v>2316</v>
      </c>
      <c r="C37" s="64" t="n">
        <f aca="false">SUM(E37:P37)</f>
        <v>-132000</v>
      </c>
      <c r="E37" s="107" t="n">
        <v>-11000</v>
      </c>
      <c r="F37" s="107" t="n">
        <v>-11000</v>
      </c>
      <c r="G37" s="107" t="n">
        <v>-11000</v>
      </c>
      <c r="H37" s="107" t="n">
        <v>-11000</v>
      </c>
      <c r="I37" s="107" t="n">
        <v>-11000</v>
      </c>
      <c r="J37" s="107" t="n">
        <v>-11000</v>
      </c>
      <c r="K37" s="107" t="n">
        <v>-11000</v>
      </c>
      <c r="L37" s="107" t="n">
        <v>-11000</v>
      </c>
      <c r="M37" s="107" t="n">
        <v>-11000</v>
      </c>
      <c r="N37" s="107" t="n">
        <v>-11000</v>
      </c>
      <c r="O37" s="107" t="n">
        <v>-11000</v>
      </c>
      <c r="P37" s="107" t="n">
        <v>-11000</v>
      </c>
    </row>
    <row r="38" customFormat="false" ht="15" hidden="false" customHeight="false" outlineLevel="0" collapsed="false">
      <c r="A38" s="28" t="s">
        <v>549</v>
      </c>
      <c r="B38" s="62" t="s">
        <v>2316</v>
      </c>
      <c r="C38" s="64" t="n">
        <f aca="false">SUM(E38:P38)</f>
        <v>-16800</v>
      </c>
      <c r="E38" s="107" t="n">
        <v>-1400</v>
      </c>
      <c r="F38" s="107" t="n">
        <v>-1400</v>
      </c>
      <c r="G38" s="107" t="n">
        <v>-1400</v>
      </c>
      <c r="H38" s="107" t="n">
        <v>-1400</v>
      </c>
      <c r="I38" s="107" t="n">
        <v>-1400</v>
      </c>
      <c r="J38" s="107" t="n">
        <v>-1400</v>
      </c>
      <c r="K38" s="107" t="n">
        <v>-1400</v>
      </c>
      <c r="L38" s="107" t="n">
        <v>-1400</v>
      </c>
      <c r="M38" s="107" t="n">
        <v>-1400</v>
      </c>
      <c r="N38" s="107" t="n">
        <v>-1400</v>
      </c>
      <c r="O38" s="107" t="n">
        <v>-1400</v>
      </c>
      <c r="P38" s="107" t="n">
        <v>-1400</v>
      </c>
    </row>
    <row r="39" customFormat="false" ht="15" hidden="false" customHeight="false" outlineLevel="0" collapsed="false">
      <c r="A39" s="58" t="s">
        <v>434</v>
      </c>
      <c r="B39" s="59"/>
      <c r="C39" s="60" t="n">
        <f aca="false">SUM(E39:P39)</f>
        <v>-9869214.18</v>
      </c>
      <c r="D39" s="157"/>
      <c r="E39" s="60" t="n">
        <f aca="false">SUM(E26:E38)</f>
        <v>-749260.7</v>
      </c>
      <c r="F39" s="60" t="n">
        <f aca="false">SUM(F26:F38)</f>
        <v>-796459.23</v>
      </c>
      <c r="G39" s="60" t="n">
        <f aca="false">SUM(G26:G38)</f>
        <v>-860367.96</v>
      </c>
      <c r="H39" s="60" t="n">
        <f aca="false">SUM(H26:H38)</f>
        <v>-818365.78</v>
      </c>
      <c r="I39" s="60" t="n">
        <f aca="false">SUM(I26:I38)</f>
        <v>-807705.27</v>
      </c>
      <c r="J39" s="60" t="n">
        <f aca="false">SUM(J26:J38)</f>
        <v>-885753.7</v>
      </c>
      <c r="K39" s="60" t="n">
        <f aca="false">SUM(K26:K38)</f>
        <v>-769740.37</v>
      </c>
      <c r="L39" s="60" t="n">
        <f aca="false">SUM(L26:L38)</f>
        <v>-677989.89</v>
      </c>
      <c r="M39" s="60" t="n">
        <f aca="false">SUM(M26:M38)</f>
        <v>-875633.71</v>
      </c>
      <c r="N39" s="60" t="n">
        <f aca="false">SUM(N26:N38)</f>
        <v>-912654.65</v>
      </c>
      <c r="O39" s="60" t="n">
        <f aca="false">SUM(O26:O38)</f>
        <v>-884447.14</v>
      </c>
      <c r="P39" s="60" t="n">
        <f aca="false">SUM(P26:P38)</f>
        <v>-830835.78</v>
      </c>
    </row>
    <row r="40" customFormat="false" ht="15" hidden="false" customHeight="false" outlineLevel="0" collapsed="false">
      <c r="A40" s="28" t="s">
        <v>571</v>
      </c>
      <c r="B40" s="62" t="s">
        <v>2316</v>
      </c>
      <c r="C40" s="64" t="n">
        <f aca="false">SUM(E40:P40)</f>
        <v>1209691.85</v>
      </c>
      <c r="E40" s="107" t="n">
        <v>88337.03</v>
      </c>
      <c r="F40" s="107" t="n">
        <v>92841.49</v>
      </c>
      <c r="G40" s="107" t="n">
        <v>94092.71</v>
      </c>
      <c r="H40" s="107" t="n">
        <v>96881.16</v>
      </c>
      <c r="I40" s="107" t="n">
        <v>101385.62</v>
      </c>
      <c r="J40" s="107" t="n">
        <v>102636.84</v>
      </c>
      <c r="K40" s="107" t="n">
        <v>102636.84</v>
      </c>
      <c r="L40" s="107" t="n">
        <v>105425.3</v>
      </c>
      <c r="M40" s="107" t="n">
        <v>105425.3</v>
      </c>
      <c r="N40" s="107" t="n">
        <v>106676.52</v>
      </c>
      <c r="O40" s="107" t="n">
        <v>106676.52</v>
      </c>
      <c r="P40" s="107" t="n">
        <v>106676.52</v>
      </c>
    </row>
    <row r="41" customFormat="false" ht="15" hidden="false" customHeight="false" outlineLevel="0" collapsed="false">
      <c r="A41" s="58" t="s">
        <v>392</v>
      </c>
      <c r="B41" s="59"/>
      <c r="C41" s="60" t="n">
        <f aca="false">SUM(E41:P41)</f>
        <v>-4472980.62</v>
      </c>
      <c r="D41" s="157"/>
      <c r="E41" s="60" t="n">
        <f aca="false">E24+E39+E40</f>
        <v>-376332.27</v>
      </c>
      <c r="F41" s="60" t="n">
        <f aca="false">F24+F39+F40</f>
        <v>-440516.89</v>
      </c>
      <c r="G41" s="60" t="n">
        <f aca="false">G24+G39+G40</f>
        <v>-445059.53</v>
      </c>
      <c r="H41" s="60" t="n">
        <f aca="false">H24+H39+H40</f>
        <v>-422429.72</v>
      </c>
      <c r="I41" s="60" t="n">
        <f aca="false">I24+I39+I40</f>
        <v>-369558.87</v>
      </c>
      <c r="J41" s="60" t="n">
        <f aca="false">J24+J39+J40</f>
        <v>-426654.1</v>
      </c>
      <c r="K41" s="60" t="n">
        <f aca="false">K24+K39+K40</f>
        <v>-298506.12</v>
      </c>
      <c r="L41" s="60" t="n">
        <f aca="false">L24+L39+L40</f>
        <v>-190926.86</v>
      </c>
      <c r="M41" s="60" t="n">
        <f aca="false">M24+M39+M40</f>
        <v>-323229.3</v>
      </c>
      <c r="N41" s="60" t="n">
        <f aca="false">N24+N39+N40</f>
        <v>-441606.68</v>
      </c>
      <c r="O41" s="60" t="n">
        <f aca="false">O24+O39+O40</f>
        <v>-402238.46</v>
      </c>
      <c r="P41" s="60" t="n">
        <f aca="false">P24+P39+P40</f>
        <v>-335921.82</v>
      </c>
    </row>
    <row r="42" customFormat="false" ht="15" hidden="false" customHeight="false" outlineLevel="0" collapsed="false">
      <c r="A42" s="28" t="s">
        <v>439</v>
      </c>
      <c r="B42" s="62" t="s">
        <v>2316</v>
      </c>
      <c r="C42" s="64" t="n">
        <f aca="false">SUM(E42:P42)</f>
        <v>-83849.99</v>
      </c>
      <c r="E42" s="107" t="n">
        <v>-6000</v>
      </c>
      <c r="F42" s="107" t="n">
        <v>-6136.11</v>
      </c>
      <c r="G42" s="107" t="n">
        <v>-6338.89</v>
      </c>
      <c r="H42" s="107" t="n">
        <v>-6608.33</v>
      </c>
      <c r="I42" s="107" t="n">
        <v>-6811.11</v>
      </c>
      <c r="J42" s="107" t="n">
        <v>-7013.89</v>
      </c>
      <c r="K42" s="107" t="n">
        <v>-7150</v>
      </c>
      <c r="L42" s="107" t="n">
        <v>-7286.11</v>
      </c>
      <c r="M42" s="107" t="n">
        <v>-7422.22</v>
      </c>
      <c r="N42" s="107" t="n">
        <v>-7558.33</v>
      </c>
      <c r="O42" s="107" t="n">
        <v>-7694.44</v>
      </c>
      <c r="P42" s="107" t="n">
        <v>-7830.56</v>
      </c>
    </row>
    <row r="43" customFormat="false" ht="15" hidden="false" customHeight="false" outlineLevel="0" collapsed="false">
      <c r="A43" s="28" t="s">
        <v>441</v>
      </c>
      <c r="B43" s="62" t="s">
        <v>2316</v>
      </c>
      <c r="C43" s="64" t="n">
        <f aca="false">SUM(E43:P43)</f>
        <v>181497</v>
      </c>
      <c r="E43" s="107" t="n">
        <v>18300</v>
      </c>
      <c r="F43" s="107" t="n">
        <v>17634.05</v>
      </c>
      <c r="G43" s="107" t="n">
        <v>16853.9</v>
      </c>
      <c r="H43" s="107" t="n">
        <v>16066.38</v>
      </c>
      <c r="I43" s="107" t="n">
        <v>15305.94</v>
      </c>
      <c r="J43" s="107" t="n">
        <v>14619.25</v>
      </c>
      <c r="K43" s="107" t="n">
        <v>15252.56</v>
      </c>
      <c r="L43" s="107" t="n">
        <v>14668.39</v>
      </c>
      <c r="M43" s="107" t="n">
        <v>14234.88</v>
      </c>
      <c r="N43" s="107" t="n">
        <v>13626.29</v>
      </c>
      <c r="O43" s="107" t="n">
        <v>12836.54</v>
      </c>
      <c r="P43" s="107" t="n">
        <v>12098.82</v>
      </c>
    </row>
    <row r="44" customFormat="false" ht="15" hidden="false" customHeight="false" outlineLevel="0" collapsed="false">
      <c r="A44" s="28" t="s">
        <v>572</v>
      </c>
      <c r="B44" s="62" t="s">
        <v>2316</v>
      </c>
      <c r="C44" s="64" t="n">
        <f aca="false">SUM(E44:P44)</f>
        <v>0</v>
      </c>
      <c r="E44" s="107" t="n">
        <v>0</v>
      </c>
      <c r="F44" s="107" t="n">
        <v>0</v>
      </c>
      <c r="G44" s="107" t="n">
        <v>0</v>
      </c>
      <c r="H44" s="107" t="n">
        <v>0</v>
      </c>
      <c r="I44" s="107" t="n">
        <v>0</v>
      </c>
      <c r="J44" s="107" t="n">
        <v>0</v>
      </c>
      <c r="K44" s="107" t="n">
        <v>0</v>
      </c>
      <c r="L44" s="107" t="n">
        <v>0</v>
      </c>
      <c r="M44" s="107" t="n">
        <v>0</v>
      </c>
      <c r="N44" s="107" t="n">
        <v>0</v>
      </c>
      <c r="O44" s="107" t="n">
        <v>0</v>
      </c>
      <c r="P44" s="107" t="n">
        <v>0</v>
      </c>
    </row>
    <row r="45" customFormat="false" ht="15" hidden="false" customHeight="false" outlineLevel="0" collapsed="false">
      <c r="A45" s="58" t="s">
        <v>443</v>
      </c>
      <c r="B45" s="59"/>
      <c r="C45" s="60" t="n">
        <f aca="false">SUM(E45:P45)</f>
        <v>-4375333.61</v>
      </c>
      <c r="D45" s="157"/>
      <c r="E45" s="60" t="n">
        <f aca="false">E41+E42+E43+E44</f>
        <v>-364032.27</v>
      </c>
      <c r="F45" s="60" t="n">
        <f aca="false">F41+F42+F43+F44</f>
        <v>-429018.95</v>
      </c>
      <c r="G45" s="60" t="n">
        <f aca="false">G41+G42+G43+G44</f>
        <v>-434544.52</v>
      </c>
      <c r="H45" s="60" t="n">
        <f aca="false">H41+H42+H43+H44</f>
        <v>-412971.67</v>
      </c>
      <c r="I45" s="60" t="n">
        <f aca="false">I41+I42+I43+I44</f>
        <v>-361064.04</v>
      </c>
      <c r="J45" s="60" t="n">
        <f aca="false">J41+J42+J43+J44</f>
        <v>-419048.74</v>
      </c>
      <c r="K45" s="60" t="n">
        <f aca="false">K41+K42+K43+K44</f>
        <v>-290403.56</v>
      </c>
      <c r="L45" s="60" t="n">
        <f aca="false">L41+L42+L43+L44</f>
        <v>-183544.58</v>
      </c>
      <c r="M45" s="60" t="n">
        <f aca="false">M41+M42+M43+M44</f>
        <v>-316416.64</v>
      </c>
      <c r="N45" s="60" t="n">
        <f aca="false">N41+N42+N43+N44</f>
        <v>-435538.72</v>
      </c>
      <c r="O45" s="60" t="n">
        <f aca="false">O41+O42+O43+O44</f>
        <v>-397096.36</v>
      </c>
      <c r="P45" s="60" t="n">
        <f aca="false">P41+P42+P43+P44</f>
        <v>-331653.56</v>
      </c>
    </row>
    <row r="46" customFormat="false" ht="15" hidden="false" customHeight="false" outlineLevel="0" collapsed="false">
      <c r="A46" s="28" t="s">
        <v>2319</v>
      </c>
      <c r="B46" s="62" t="s">
        <v>2316</v>
      </c>
      <c r="C46" s="64" t="n">
        <f aca="false">SUM(E46:P46)</f>
        <v>0</v>
      </c>
      <c r="E46" s="107" t="n">
        <v>0</v>
      </c>
      <c r="F46" s="107" t="n">
        <v>0</v>
      </c>
      <c r="G46" s="107" t="n">
        <v>0</v>
      </c>
      <c r="H46" s="107" t="n">
        <v>0</v>
      </c>
      <c r="I46" s="107" t="n">
        <v>0</v>
      </c>
      <c r="J46" s="107" t="n">
        <v>0</v>
      </c>
      <c r="K46" s="107" t="n">
        <v>0</v>
      </c>
      <c r="L46" s="107" t="n">
        <v>0</v>
      </c>
      <c r="M46" s="107" t="n">
        <v>0</v>
      </c>
      <c r="N46" s="107" t="n">
        <v>0</v>
      </c>
      <c r="O46" s="107" t="n">
        <v>0</v>
      </c>
      <c r="P46" s="107" t="n">
        <v>0</v>
      </c>
    </row>
    <row r="47" customFormat="false" ht="15" hidden="false" customHeight="false" outlineLevel="0" collapsed="false">
      <c r="A47" s="58" t="s">
        <v>445</v>
      </c>
      <c r="B47" s="59"/>
      <c r="C47" s="60" t="n">
        <f aca="false">SUM(E47:P47)</f>
        <v>-4375333.61</v>
      </c>
      <c r="D47" s="157"/>
      <c r="E47" s="60" t="n">
        <f aca="false">E45+E46</f>
        <v>-364032.27</v>
      </c>
      <c r="F47" s="60" t="n">
        <f aca="false">F45+F46</f>
        <v>-429018.95</v>
      </c>
      <c r="G47" s="60" t="n">
        <f aca="false">G45+G46</f>
        <v>-434544.52</v>
      </c>
      <c r="H47" s="60" t="n">
        <f aca="false">H45+H46</f>
        <v>-412971.67</v>
      </c>
      <c r="I47" s="60" t="n">
        <f aca="false">I45+I46</f>
        <v>-361064.04</v>
      </c>
      <c r="J47" s="60" t="n">
        <f aca="false">J45+J46</f>
        <v>-419048.74</v>
      </c>
      <c r="K47" s="60" t="n">
        <f aca="false">K45+K46</f>
        <v>-290403.56</v>
      </c>
      <c r="L47" s="60" t="n">
        <f aca="false">L45+L46</f>
        <v>-183544.58</v>
      </c>
      <c r="M47" s="60" t="n">
        <f aca="false">M45+M46</f>
        <v>-316416.64</v>
      </c>
      <c r="N47" s="60" t="n">
        <f aca="false">N45+N46</f>
        <v>-435538.72</v>
      </c>
      <c r="O47" s="60" t="n">
        <f aca="false">O45+O46</f>
        <v>-397096.36</v>
      </c>
      <c r="P47" s="60" t="n">
        <f aca="false">P45+P46</f>
        <v>-331653.56</v>
      </c>
    </row>
    <row r="48" customFormat="false" ht="15" hidden="false" customHeight="false" outlineLevel="0" collapsed="false">
      <c r="A48" s="22" t="s">
        <v>2320</v>
      </c>
      <c r="B48" s="23"/>
      <c r="C48" s="23"/>
      <c r="D48" s="23"/>
      <c r="E48" s="23"/>
      <c r="F48" s="23"/>
      <c r="G48" s="23"/>
      <c r="H48" s="23"/>
      <c r="I48" s="23"/>
      <c r="J48" s="23"/>
      <c r="K48" s="23"/>
      <c r="L48" s="23"/>
      <c r="M48" s="23"/>
      <c r="N48" s="23"/>
      <c r="O48" s="23"/>
      <c r="P48" s="23"/>
    </row>
    <row r="49" customFormat="false" ht="15" hidden="false" customHeight="false" outlineLevel="0" collapsed="false">
      <c r="A49" s="28" t="s">
        <v>574</v>
      </c>
      <c r="B49" s="62" t="s">
        <v>2316</v>
      </c>
      <c r="C49" s="64" t="n">
        <f aca="false">SUM(E49:P49)</f>
        <v>1091501.88</v>
      </c>
      <c r="E49" s="107" t="n">
        <v>83185.13</v>
      </c>
      <c r="F49" s="107" t="n">
        <v>83304.39</v>
      </c>
      <c r="G49" s="107" t="n">
        <v>86598.22</v>
      </c>
      <c r="H49" s="107" t="n">
        <v>85412.41</v>
      </c>
      <c r="I49" s="107" t="n">
        <v>86667.82</v>
      </c>
      <c r="J49" s="107" t="n">
        <v>89736.41</v>
      </c>
      <c r="K49" s="107" t="n">
        <v>86284.72</v>
      </c>
      <c r="L49" s="107" t="n">
        <v>79998.65</v>
      </c>
      <c r="M49" s="107" t="n">
        <v>100427.39</v>
      </c>
      <c r="N49" s="107" t="n">
        <v>103886.83</v>
      </c>
      <c r="O49" s="107" t="n">
        <v>104035.76</v>
      </c>
      <c r="P49" s="107" t="n">
        <v>101964.15</v>
      </c>
    </row>
    <row r="50" customFormat="false" ht="15" hidden="false" customHeight="false" outlineLevel="0" collapsed="false">
      <c r="A50" s="28" t="s">
        <v>2321</v>
      </c>
      <c r="B50" s="62" t="s">
        <v>2316</v>
      </c>
      <c r="C50" s="64" t="n">
        <f aca="false">SUM(E50:P50)</f>
        <v>902630.31</v>
      </c>
      <c r="E50" s="107" t="n">
        <v>67101.2</v>
      </c>
      <c r="F50" s="107" t="n">
        <v>68753.52</v>
      </c>
      <c r="G50" s="107" t="n">
        <v>70670.81</v>
      </c>
      <c r="H50" s="107" t="n">
        <v>71874.94</v>
      </c>
      <c r="I50" s="107" t="n">
        <v>72954.3</v>
      </c>
      <c r="J50" s="107" t="n">
        <v>74497.44</v>
      </c>
      <c r="K50" s="107" t="n">
        <v>75036.75</v>
      </c>
      <c r="L50" s="107" t="n">
        <v>74175.92</v>
      </c>
      <c r="M50" s="107" t="n">
        <v>77540.12</v>
      </c>
      <c r="N50" s="107" t="n">
        <v>81093.99</v>
      </c>
      <c r="O50" s="107" t="n">
        <v>83700.47</v>
      </c>
      <c r="P50" s="107" t="n">
        <v>85230.85</v>
      </c>
    </row>
    <row r="51" customFormat="false" ht="15" hidden="false" customHeight="false" outlineLevel="0" collapsed="false">
      <c r="A51" s="28" t="s">
        <v>2322</v>
      </c>
      <c r="B51" s="62"/>
      <c r="C51" s="64" t="n">
        <f aca="false">SUM(E51:P51)</f>
        <v>-7304.79136363635</v>
      </c>
      <c r="E51" s="65" t="n">
        <f aca="false">E9-E50/(1-Assumptions!$C$119)</f>
        <v>-365.903636363626</v>
      </c>
      <c r="F51" s="65" t="n">
        <f aca="false">F9-F50/(1-Assumptions!$C$119)</f>
        <v>2248.10000000001</v>
      </c>
      <c r="G51" s="65" t="n">
        <f aca="false">G9-G50/(1-Assumptions!$C$119)</f>
        <v>-697.458636363634</v>
      </c>
      <c r="H51" s="65" t="n">
        <f aca="false">H9-H50/(1-Assumptions!$C$119)</f>
        <v>152.361818181802</v>
      </c>
      <c r="I51" s="65" t="n">
        <f aca="false">I9-I50/(1-Assumptions!$C$119)</f>
        <v>-1374.95363636363</v>
      </c>
      <c r="J51" s="65" t="n">
        <f aca="false">J9-J50/(1-Assumptions!$C$119)</f>
        <v>-929.011818181825</v>
      </c>
      <c r="K51" s="65" t="n">
        <f aca="false">K9-K50/(1-Assumptions!$C$119)</f>
        <v>-329.324090909082</v>
      </c>
      <c r="L51" s="65" t="n">
        <f aca="false">L9-L50/(1-Assumptions!$C$119)</f>
        <v>-1867.99818181817</v>
      </c>
      <c r="M51" s="65" t="n">
        <f aca="false">M9-M50/(1-Assumptions!$C$119)</f>
        <v>-1281.92272727271</v>
      </c>
      <c r="N51" s="65" t="n">
        <f aca="false">N9-N50/(1-Assumptions!$C$119)</f>
        <v>-1319.96136363636</v>
      </c>
      <c r="O51" s="65" t="n">
        <f aca="false">O9-O50/(1-Assumptions!$C$119)</f>
        <v>-246.380454545462</v>
      </c>
      <c r="P51" s="65" t="n">
        <f aca="false">P9-P50/(1-Assumptions!$C$119)</f>
        <v>-1292.33863636365</v>
      </c>
    </row>
    <row r="52" customFormat="false" ht="15" hidden="false" customHeight="false" outlineLevel="0" collapsed="false">
      <c r="A52" s="28" t="s">
        <v>2191</v>
      </c>
      <c r="B52" s="62" t="s">
        <v>2323</v>
      </c>
      <c r="C52" s="67" t="n">
        <f aca="false">P52</f>
        <v>447.1</v>
      </c>
      <c r="E52" s="137" t="n">
        <v>346.5</v>
      </c>
      <c r="F52" s="137" t="n">
        <v>357.7</v>
      </c>
      <c r="G52" s="137" t="n">
        <v>369.3</v>
      </c>
      <c r="H52" s="137" t="n">
        <v>379.2</v>
      </c>
      <c r="I52" s="137" t="n">
        <v>388.5</v>
      </c>
      <c r="J52" s="137" t="n">
        <v>397.9</v>
      </c>
      <c r="K52" s="137" t="n">
        <v>405</v>
      </c>
      <c r="L52" s="137" t="n">
        <v>409.1</v>
      </c>
      <c r="M52" s="137" t="n">
        <v>419.5</v>
      </c>
      <c r="N52" s="137" t="n">
        <v>430.1</v>
      </c>
      <c r="O52" s="137" t="n">
        <v>439.5</v>
      </c>
      <c r="P52" s="137" t="n">
        <v>447.1</v>
      </c>
    </row>
    <row r="53" customFormat="false" ht="15" hidden="false" customHeight="false" outlineLevel="0" collapsed="false">
      <c r="A53" s="28" t="s">
        <v>2193</v>
      </c>
      <c r="B53" s="62" t="s">
        <v>2316</v>
      </c>
      <c r="C53" s="67" t="n">
        <f aca="false">SUM(E53:P53)</f>
        <v>215.9</v>
      </c>
      <c r="E53" s="137" t="n">
        <v>19.8</v>
      </c>
      <c r="F53" s="137" t="n">
        <v>18.9</v>
      </c>
      <c r="G53" s="137" t="n">
        <v>19.4</v>
      </c>
      <c r="H53" s="137" t="n">
        <v>18</v>
      </c>
      <c r="I53" s="137" t="n">
        <v>17.6</v>
      </c>
      <c r="J53" s="137" t="n">
        <v>18</v>
      </c>
      <c r="K53" s="137" t="n">
        <v>15.8</v>
      </c>
      <c r="L53" s="137" t="n">
        <v>13</v>
      </c>
      <c r="M53" s="137" t="n">
        <v>19.4</v>
      </c>
      <c r="N53" s="137" t="n">
        <v>19.8</v>
      </c>
      <c r="O53" s="137" t="n">
        <v>18.9</v>
      </c>
      <c r="P53" s="137" t="n">
        <v>17.3</v>
      </c>
    </row>
    <row r="54" customFormat="false" ht="15" hidden="false" customHeight="false" outlineLevel="0" collapsed="false">
      <c r="A54" s="28" t="s">
        <v>2195</v>
      </c>
      <c r="B54" s="62" t="s">
        <v>2316</v>
      </c>
      <c r="C54" s="67" t="n">
        <f aca="false">SUM(E54:P54)</f>
        <v>-102.8</v>
      </c>
      <c r="E54" s="137" t="n">
        <v>-7.3</v>
      </c>
      <c r="F54" s="137" t="n">
        <v>-7.6</v>
      </c>
      <c r="G54" s="137" t="n">
        <v>-7.9</v>
      </c>
      <c r="H54" s="137" t="n">
        <v>-8.1</v>
      </c>
      <c r="I54" s="137" t="n">
        <v>-8.3</v>
      </c>
      <c r="J54" s="137" t="n">
        <v>-8.5</v>
      </c>
      <c r="K54" s="137" t="n">
        <v>-8.8</v>
      </c>
      <c r="L54" s="137" t="n">
        <v>-8.9</v>
      </c>
      <c r="M54" s="137" t="n">
        <v>-9</v>
      </c>
      <c r="N54" s="137" t="n">
        <v>-9.2</v>
      </c>
      <c r="O54" s="137" t="n">
        <v>-9.5</v>
      </c>
      <c r="P54" s="137" t="n">
        <v>-9.7</v>
      </c>
    </row>
    <row r="55" customFormat="false" ht="15" hidden="false" customHeight="false" outlineLevel="0" collapsed="false">
      <c r="A55" s="28" t="s">
        <v>2324</v>
      </c>
      <c r="B55" s="62"/>
      <c r="C55" s="114" t="n">
        <f aca="false">AVERAGE(E55:P55)</f>
        <v>0.0219797089311787</v>
      </c>
      <c r="E55" s="115" t="n">
        <f aca="false">IF((E52-E53-E54)=0,0,-E54/(E52-E53-E54))</f>
        <v>0.0218562874251497</v>
      </c>
      <c r="F55" s="115" t="n">
        <f aca="false">IF((F52-F53-F54)=0,0,-F54/(F52-F53-F54))</f>
        <v>0.0219399538106236</v>
      </c>
      <c r="G55" s="115" t="n">
        <f aca="false">IF((G52-G53-G54)=0,0,-G54/(G52-G53-G54))</f>
        <v>0.0220793739519285</v>
      </c>
      <c r="H55" s="115" t="n">
        <f aca="false">IF((H52-H53-H54)=0,0,-H54/(H52-H53-H54))</f>
        <v>0.0219333874898457</v>
      </c>
      <c r="I55" s="115" t="n">
        <f aca="false">IF((I52-I53-I54)=0,0,-I54/(I52-I53-I54))</f>
        <v>0.0218881856540084</v>
      </c>
      <c r="J55" s="115" t="n">
        <f aca="false">IF((J52-J53-J54)=0,0,-J54/(J52-J53-J54))</f>
        <v>0.0218846549948507</v>
      </c>
      <c r="K55" s="115" t="n">
        <f aca="false">IF((K52-K53-K54)=0,0,-K54/(K52-K53-K54))</f>
        <v>0.0221105527638191</v>
      </c>
      <c r="L55" s="115" t="n">
        <f aca="false">IF((L52-L53-L54)=0,0,-L54/(L52-L53-L54))</f>
        <v>0.0219753086419753</v>
      </c>
      <c r="M55" s="115" t="n">
        <f aca="false">IF((M52-M53-M54)=0,0,-M54/(M52-M53-M54))</f>
        <v>0.0219995111219751</v>
      </c>
      <c r="N55" s="115" t="n">
        <f aca="false">IF((N52-N53-N54)=0,0,-N54/(N52-N53-N54))</f>
        <v>0.0219308700834327</v>
      </c>
      <c r="O55" s="115" t="n">
        <f aca="false">IF((O52-O53-O54)=0,0,-O54/(O52-O53-O54))</f>
        <v>0.0220878865380144</v>
      </c>
      <c r="P55" s="115" t="n">
        <f aca="false">IF((P52-P53-P54)=0,0,-P54/(P52-P53-P54))</f>
        <v>0.022070534698521</v>
      </c>
    </row>
    <row r="56" customFormat="false" ht="15" hidden="false" customHeight="false" outlineLevel="0" collapsed="false">
      <c r="A56" s="28" t="s">
        <v>2325</v>
      </c>
      <c r="B56" s="62"/>
      <c r="C56" s="71" t="n">
        <f aca="false">AVERAGE(E56:P56)</f>
        <v>442.334710620733</v>
      </c>
      <c r="E56" s="113" t="n">
        <f aca="false">IF(E52=0,0,E10/E52)</f>
        <v>432.632987012987</v>
      </c>
      <c r="F56" s="113" t="n">
        <f aca="false">IF(F52=0,0,F10/F52)</f>
        <v>434.460218059827</v>
      </c>
      <c r="G56" s="113" t="n">
        <f aca="false">IF(G52=0,0,G10/G52)</f>
        <v>436.161386406715</v>
      </c>
      <c r="H56" s="113" t="n">
        <f aca="false">IF(H52=0,0,H10/H52)</f>
        <v>437.877637130802</v>
      </c>
      <c r="I56" s="113" t="n">
        <f aca="false">IF(I52=0,0,I10/I52)</f>
        <v>439.627722007722</v>
      </c>
      <c r="J56" s="113" t="n">
        <f aca="false">IF(J52=0,0,J10/J52)</f>
        <v>441.446393566223</v>
      </c>
      <c r="K56" s="113" t="n">
        <f aca="false">IF(K52=0,0,K10/K52)</f>
        <v>443.19587654321</v>
      </c>
      <c r="L56" s="113" t="n">
        <f aca="false">IF(L52=0,0,L10/L52)</f>
        <v>444.913835248106</v>
      </c>
      <c r="M56" s="113" t="n">
        <f aca="false">IF(M52=0,0,M10/M52)</f>
        <v>446.737783075089</v>
      </c>
      <c r="N56" s="113" t="n">
        <f aca="false">IF(N52=0,0,N10/N52)</f>
        <v>448.494326900721</v>
      </c>
      <c r="O56" s="113" t="n">
        <f aca="false">IF(O52=0,0,O10/O52)</f>
        <v>450.328213879408</v>
      </c>
      <c r="P56" s="113" t="n">
        <f aca="false">IF(P52=0,0,P10/P52)</f>
        <v>452.140147617983</v>
      </c>
    </row>
    <row r="57" customFormat="false" ht="15" hidden="false" customHeight="false" outlineLevel="0" collapsed="false">
      <c r="A57" s="28" t="s">
        <v>2326</v>
      </c>
      <c r="B57" s="62" t="s">
        <v>2316</v>
      </c>
      <c r="C57" s="64" t="n">
        <f aca="false">SUM(E57:P57)</f>
        <v>200749.21</v>
      </c>
      <c r="E57" s="107" t="n">
        <v>15828.83</v>
      </c>
      <c r="F57" s="107" t="n">
        <v>15987.12</v>
      </c>
      <c r="G57" s="107" t="n">
        <v>16146.99</v>
      </c>
      <c r="H57" s="107" t="n">
        <v>16308.46</v>
      </c>
      <c r="I57" s="107" t="n">
        <v>16471.55</v>
      </c>
      <c r="J57" s="107" t="n">
        <v>16636.26</v>
      </c>
      <c r="K57" s="107" t="n">
        <v>16802.62</v>
      </c>
      <c r="L57" s="107" t="n">
        <v>16970.65</v>
      </c>
      <c r="M57" s="107" t="n">
        <v>17140.36</v>
      </c>
      <c r="N57" s="107" t="n">
        <v>17311.76</v>
      </c>
      <c r="O57" s="107" t="n">
        <v>17484.88</v>
      </c>
      <c r="P57" s="107" t="n">
        <v>17659.73</v>
      </c>
    </row>
    <row r="58" customFormat="false" ht="15" hidden="false" customHeight="false" outlineLevel="0" collapsed="false">
      <c r="A58" s="28" t="s">
        <v>2327</v>
      </c>
      <c r="B58" s="62" t="s">
        <v>2316</v>
      </c>
      <c r="C58" s="64" t="n">
        <f aca="false">SUM(E58:P58)</f>
        <v>325961.58</v>
      </c>
      <c r="E58" s="107" t="n">
        <v>0</v>
      </c>
      <c r="F58" s="107" t="n">
        <v>0</v>
      </c>
      <c r="G58" s="107" t="n">
        <v>11000</v>
      </c>
      <c r="H58" s="107" t="n">
        <v>11445.5</v>
      </c>
      <c r="I58" s="107" t="n">
        <v>22909.04</v>
      </c>
      <c r="J58" s="107" t="n">
        <v>23836.86</v>
      </c>
      <c r="K58" s="107" t="n">
        <v>24802.25</v>
      </c>
      <c r="L58" s="107" t="n">
        <v>36806.74</v>
      </c>
      <c r="M58" s="107" t="n">
        <v>38156.55</v>
      </c>
      <c r="N58" s="107" t="n">
        <v>50556.81</v>
      </c>
      <c r="O58" s="107" t="n">
        <v>52314.06</v>
      </c>
      <c r="P58" s="107" t="n">
        <v>54133.77</v>
      </c>
    </row>
    <row r="59" customFormat="false" ht="15" hidden="false" customHeight="false" outlineLevel="0" collapsed="false">
      <c r="A59" s="28" t="s">
        <v>2328</v>
      </c>
      <c r="B59" s="62" t="s">
        <v>2316</v>
      </c>
      <c r="C59" s="64" t="n">
        <f aca="false">SUM(E59:P59)</f>
        <v>2784956.98</v>
      </c>
      <c r="E59" s="107" t="n">
        <v>221592.52</v>
      </c>
      <c r="F59" s="107" t="n">
        <v>187612.67</v>
      </c>
      <c r="G59" s="107" t="n">
        <v>244808.4</v>
      </c>
      <c r="H59" s="107" t="n">
        <v>195036.38</v>
      </c>
      <c r="I59" s="107" t="n">
        <v>227213.87</v>
      </c>
      <c r="J59" s="107" t="n">
        <v>243806.29</v>
      </c>
      <c r="K59" s="107" t="n">
        <v>241029.47</v>
      </c>
      <c r="L59" s="107" t="n">
        <v>233677.84</v>
      </c>
      <c r="M59" s="107" t="n">
        <v>320697.57</v>
      </c>
      <c r="N59" s="107" t="n">
        <v>218881.64</v>
      </c>
      <c r="O59" s="107" t="n">
        <v>223132.87</v>
      </c>
      <c r="P59" s="107" t="n">
        <v>227467.46</v>
      </c>
    </row>
    <row r="60" customFormat="false" ht="15" hidden="false" customHeight="false" outlineLevel="0" collapsed="false">
      <c r="A60" s="28" t="s">
        <v>575</v>
      </c>
      <c r="B60" s="62" t="s">
        <v>2316</v>
      </c>
      <c r="C60" s="67" t="n">
        <f aca="false">SUM(E60:P60)</f>
        <v>293812.7</v>
      </c>
      <c r="E60" s="137" t="n">
        <v>20200.7</v>
      </c>
      <c r="F60" s="137" t="n">
        <v>20711.5</v>
      </c>
      <c r="G60" s="137" t="n">
        <v>21886</v>
      </c>
      <c r="H60" s="137" t="n">
        <v>22386.4</v>
      </c>
      <c r="I60" s="137" t="n">
        <v>23519</v>
      </c>
      <c r="J60" s="137" t="n">
        <v>24067.8</v>
      </c>
      <c r="K60" s="137" t="n">
        <v>24539.5</v>
      </c>
      <c r="L60" s="137" t="n">
        <v>25545</v>
      </c>
      <c r="M60" s="137" t="n">
        <v>26235.8</v>
      </c>
      <c r="N60" s="137" t="n">
        <v>27587.4</v>
      </c>
      <c r="O60" s="137" t="n">
        <v>28263.6</v>
      </c>
      <c r="P60" s="137" t="n">
        <v>28870</v>
      </c>
    </row>
    <row r="61" customFormat="false" ht="15" hidden="false" customHeight="false" outlineLevel="0" collapsed="false">
      <c r="A61" s="28" t="s">
        <v>576</v>
      </c>
      <c r="B61" s="62" t="s">
        <v>2316</v>
      </c>
      <c r="C61" s="67" t="n">
        <f aca="false">SUM(E61:P61)</f>
        <v>266022.8</v>
      </c>
      <c r="E61" s="137" t="n">
        <v>18398.9</v>
      </c>
      <c r="F61" s="137" t="n">
        <v>18842.3</v>
      </c>
      <c r="G61" s="137" t="n">
        <v>19874</v>
      </c>
      <c r="H61" s="137" t="n">
        <v>20313.6</v>
      </c>
      <c r="I61" s="137" t="n">
        <v>21316.1</v>
      </c>
      <c r="J61" s="137" t="n">
        <v>21797.6</v>
      </c>
      <c r="K61" s="137" t="n">
        <v>22216.8</v>
      </c>
      <c r="L61" s="137" t="n">
        <v>23119</v>
      </c>
      <c r="M61" s="137" t="n">
        <v>23718.3</v>
      </c>
      <c r="N61" s="137" t="n">
        <v>24903.9</v>
      </c>
      <c r="O61" s="137" t="n">
        <v>25494.1</v>
      </c>
      <c r="P61" s="137" t="n">
        <v>26028.2</v>
      </c>
    </row>
    <row r="62" customFormat="false" ht="15" hidden="false" customHeight="false" outlineLevel="0" collapsed="false">
      <c r="A62" s="28" t="s">
        <v>577</v>
      </c>
      <c r="B62" s="62" t="s">
        <v>2316</v>
      </c>
      <c r="C62" s="67" t="n">
        <f aca="false">SUM(E62:P62)</f>
        <v>109776.5</v>
      </c>
      <c r="E62" s="137" t="n">
        <v>7591</v>
      </c>
      <c r="F62" s="137" t="n">
        <v>7789.2</v>
      </c>
      <c r="G62" s="137" t="n">
        <v>8208.5</v>
      </c>
      <c r="H62" s="137" t="n">
        <v>8400.9</v>
      </c>
      <c r="I62" s="137" t="n">
        <v>8802.8</v>
      </c>
      <c r="J62" s="137" t="n">
        <v>9008.6</v>
      </c>
      <c r="K62" s="137" t="n">
        <v>9185.4</v>
      </c>
      <c r="L62" s="137" t="n">
        <v>9536.3</v>
      </c>
      <c r="M62" s="137" t="n">
        <v>9785.1</v>
      </c>
      <c r="N62" s="137" t="n">
        <v>10253.8</v>
      </c>
      <c r="O62" s="137" t="n">
        <v>10497.8</v>
      </c>
      <c r="P62" s="137" t="n">
        <v>10717.1</v>
      </c>
    </row>
    <row r="63" customFormat="false" ht="15" hidden="false" customHeight="false" outlineLevel="0" collapsed="false">
      <c r="A63" s="28" t="s">
        <v>578</v>
      </c>
      <c r="B63" s="62" t="s">
        <v>2316</v>
      </c>
      <c r="C63" s="64" t="n">
        <f aca="false">SUM(E63:P63)</f>
        <v>102185.2</v>
      </c>
      <c r="E63" s="107" t="n">
        <v>7522.3</v>
      </c>
      <c r="F63" s="107" t="n">
        <v>7708</v>
      </c>
      <c r="G63" s="107" t="n">
        <v>8136.9</v>
      </c>
      <c r="H63" s="107" t="n">
        <v>7987.1</v>
      </c>
      <c r="I63" s="107" t="n">
        <v>8385.7</v>
      </c>
      <c r="J63" s="107" t="n">
        <v>8578.1</v>
      </c>
      <c r="K63" s="107" t="n">
        <v>8394.8</v>
      </c>
      <c r="L63" s="107" t="n">
        <v>8736.8</v>
      </c>
      <c r="M63" s="107" t="n">
        <v>8967.8</v>
      </c>
      <c r="N63" s="107" t="n">
        <v>9045.3</v>
      </c>
      <c r="O63" s="107" t="n">
        <v>9263.1</v>
      </c>
      <c r="P63" s="107" t="n">
        <v>9459.3</v>
      </c>
    </row>
    <row r="64" customFormat="false" ht="15" hidden="false" customHeight="false" outlineLevel="0" collapsed="false">
      <c r="A64" s="28" t="s">
        <v>1027</v>
      </c>
      <c r="B64" s="62" t="s">
        <v>2316</v>
      </c>
      <c r="C64" s="64" t="n">
        <f aca="false">SUM(E64:P64)</f>
        <v>669629.76</v>
      </c>
      <c r="E64" s="107" t="n">
        <v>53641.86</v>
      </c>
      <c r="F64" s="107" t="n">
        <v>51704.92</v>
      </c>
      <c r="G64" s="107" t="n">
        <v>54662.23</v>
      </c>
      <c r="H64" s="107" t="n">
        <v>54217.71</v>
      </c>
      <c r="I64" s="107" t="n">
        <v>55653.76</v>
      </c>
      <c r="J64" s="107" t="n">
        <v>55237.99</v>
      </c>
      <c r="K64" s="107" t="n">
        <v>56274.36</v>
      </c>
      <c r="L64" s="107" t="n">
        <v>56886.95</v>
      </c>
      <c r="M64" s="107" t="n">
        <v>56554.6</v>
      </c>
      <c r="N64" s="107" t="n">
        <v>58119.75</v>
      </c>
      <c r="O64" s="107" t="n">
        <v>57779.58</v>
      </c>
      <c r="P64" s="107" t="n">
        <v>58896.05</v>
      </c>
    </row>
    <row r="65" customFormat="false" ht="15" hidden="false" customHeight="false" outlineLevel="0" collapsed="false">
      <c r="A65" s="28" t="s">
        <v>384</v>
      </c>
      <c r="B65" s="62" t="s">
        <v>2329</v>
      </c>
      <c r="C65" s="64" t="n">
        <f aca="false">P65</f>
        <v>7639284.93</v>
      </c>
      <c r="E65" s="107" t="n">
        <v>11756030.37</v>
      </c>
      <c r="F65" s="107" t="n">
        <v>11235933.33</v>
      </c>
      <c r="G65" s="107" t="n">
        <v>10710922.93</v>
      </c>
      <c r="H65" s="107" t="n">
        <v>10203962.41</v>
      </c>
      <c r="I65" s="107" t="n">
        <v>9746164.02</v>
      </c>
      <c r="J65" s="107" t="n">
        <v>10168371.57</v>
      </c>
      <c r="K65" s="107" t="n">
        <v>9778926.18</v>
      </c>
      <c r="L65" s="107" t="n">
        <v>9489918.24</v>
      </c>
      <c r="M65" s="107" t="n">
        <v>9084194.05</v>
      </c>
      <c r="N65" s="107" t="n">
        <v>8557691.67</v>
      </c>
      <c r="O65" s="107" t="n">
        <v>8065881.2</v>
      </c>
      <c r="P65" s="107" t="n">
        <v>7639284.93</v>
      </c>
    </row>
    <row r="66" customFormat="false" ht="15" hidden="false" customHeight="false" outlineLevel="0" collapsed="false">
      <c r="A66" s="28" t="s">
        <v>2330</v>
      </c>
      <c r="B66" s="62" t="s">
        <v>2329</v>
      </c>
      <c r="C66" s="64" t="n">
        <f aca="false">P66</f>
        <v>282070.74</v>
      </c>
      <c r="E66" s="107" t="n">
        <v>216280</v>
      </c>
      <c r="F66" s="107" t="n">
        <v>219207.29</v>
      </c>
      <c r="G66" s="107" t="n">
        <v>226195.23</v>
      </c>
      <c r="H66" s="107" t="n">
        <v>229779.21</v>
      </c>
      <c r="I66" s="107" t="n">
        <v>234919.37</v>
      </c>
      <c r="J66" s="107" t="n">
        <v>240928.61</v>
      </c>
      <c r="K66" s="107" t="n">
        <v>242273.62</v>
      </c>
      <c r="L66" s="107" t="n">
        <v>239849.45</v>
      </c>
      <c r="M66" s="107" t="n">
        <v>253444.99</v>
      </c>
      <c r="N66" s="107" t="n">
        <v>266499.52</v>
      </c>
      <c r="O66" s="107" t="n">
        <v>275667.49</v>
      </c>
      <c r="P66" s="107" t="n">
        <v>282070.74</v>
      </c>
    </row>
    <row r="67" customFormat="false" ht="15" hidden="false" customHeight="false" outlineLevel="0" collapsed="false">
      <c r="A67" s="28" t="s">
        <v>395</v>
      </c>
      <c r="B67" s="62" t="s">
        <v>2323</v>
      </c>
      <c r="C67" s="67" t="n">
        <f aca="false">P67</f>
        <v>86</v>
      </c>
      <c r="E67" s="137" t="n">
        <v>71</v>
      </c>
      <c r="F67" s="137" t="n">
        <v>73</v>
      </c>
      <c r="G67" s="137" t="n">
        <v>76</v>
      </c>
      <c r="H67" s="137" t="n">
        <v>78</v>
      </c>
      <c r="I67" s="137" t="n">
        <v>80</v>
      </c>
      <c r="J67" s="137" t="n">
        <v>81</v>
      </c>
      <c r="K67" s="137" t="n">
        <v>82</v>
      </c>
      <c r="L67" s="137" t="n">
        <v>83</v>
      </c>
      <c r="M67" s="137" t="n">
        <v>84</v>
      </c>
      <c r="N67" s="137" t="n">
        <v>85</v>
      </c>
      <c r="O67" s="137" t="n">
        <v>86</v>
      </c>
      <c r="P67" s="137" t="n">
        <v>86</v>
      </c>
    </row>
    <row r="68" customFormat="false" ht="15" hidden="false" customHeight="false" outlineLevel="0" collapsed="false">
      <c r="A68" s="28" t="s">
        <v>2331</v>
      </c>
      <c r="B68" s="62" t="s">
        <v>2323</v>
      </c>
      <c r="C68" s="67" t="n">
        <f aca="false">SUM(E68:P68)</f>
        <v>16</v>
      </c>
      <c r="E68" s="137" t="n">
        <v>1</v>
      </c>
      <c r="F68" s="137" t="n">
        <v>2</v>
      </c>
      <c r="G68" s="137" t="n">
        <v>3</v>
      </c>
      <c r="H68" s="137" t="n">
        <v>2</v>
      </c>
      <c r="I68" s="137" t="n">
        <v>2</v>
      </c>
      <c r="J68" s="137" t="n">
        <v>1</v>
      </c>
      <c r="K68" s="137" t="n">
        <v>1</v>
      </c>
      <c r="L68" s="137" t="n">
        <v>1</v>
      </c>
      <c r="M68" s="137" t="n">
        <v>1</v>
      </c>
      <c r="N68" s="137" t="n">
        <v>1</v>
      </c>
      <c r="O68" s="137" t="n">
        <v>1</v>
      </c>
      <c r="P68" s="137" t="n">
        <v>0</v>
      </c>
    </row>
    <row r="69" customFormat="false" ht="15" hidden="false" customHeight="false" outlineLevel="0" collapsed="false">
      <c r="A69" s="28" t="s">
        <v>1979</v>
      </c>
      <c r="B69" s="62" t="s">
        <v>2323</v>
      </c>
      <c r="C69" s="71" t="n">
        <f aca="false">AVERAGE(E69:P69)</f>
        <v>1.7</v>
      </c>
      <c r="E69" s="136" t="n">
        <v>2</v>
      </c>
      <c r="F69" s="136" t="n">
        <v>2</v>
      </c>
      <c r="G69" s="136" t="n">
        <v>2</v>
      </c>
      <c r="H69" s="136" t="n">
        <v>1.6</v>
      </c>
      <c r="I69" s="136" t="n">
        <v>1.6</v>
      </c>
      <c r="J69" s="136" t="n">
        <v>1.6</v>
      </c>
      <c r="K69" s="136" t="n">
        <v>1.6</v>
      </c>
      <c r="L69" s="136" t="n">
        <v>1.6</v>
      </c>
      <c r="M69" s="136" t="n">
        <v>1.6</v>
      </c>
      <c r="N69" s="136" t="n">
        <v>1.6</v>
      </c>
      <c r="O69" s="136" t="n">
        <v>1.6</v>
      </c>
      <c r="P69" s="136" t="n">
        <v>1.6</v>
      </c>
    </row>
    <row r="70" customFormat="false" ht="15" hidden="false" customHeight="false" outlineLevel="0" collapsed="false">
      <c r="A70" s="28" t="s">
        <v>2332</v>
      </c>
      <c r="B70" s="62" t="s">
        <v>2323</v>
      </c>
      <c r="C70" s="117" t="n">
        <f aca="false">AVERAGE(E70:P70)</f>
        <v>1.1</v>
      </c>
      <c r="E70" s="134" t="n">
        <v>1.1</v>
      </c>
      <c r="F70" s="134" t="n">
        <v>1.1</v>
      </c>
      <c r="G70" s="134" t="n">
        <v>1.1</v>
      </c>
      <c r="H70" s="134" t="n">
        <v>1.1</v>
      </c>
      <c r="I70" s="134" t="n">
        <v>1.1</v>
      </c>
      <c r="J70" s="134" t="n">
        <v>1.1</v>
      </c>
      <c r="K70" s="134" t="n">
        <v>1.1</v>
      </c>
      <c r="L70" s="134" t="n">
        <v>1.1</v>
      </c>
      <c r="M70" s="134" t="n">
        <v>1.1</v>
      </c>
      <c r="N70" s="134" t="n">
        <v>1.1</v>
      </c>
      <c r="O70" s="134" t="n">
        <v>1.1</v>
      </c>
      <c r="P70" s="134" t="n">
        <v>1.1</v>
      </c>
    </row>
    <row r="71" customFormat="false" ht="15" hidden="false" customHeight="false" outlineLevel="0" collapsed="false">
      <c r="A71" s="25" t="s">
        <v>2333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2026-09-23T12:34:31Z</dcterms:created>
  <dc:creator>openpyxl</dc:creator>
  <dc:description/>
  <dc:language>en-US</dc:language>
  <cp:lastModifiedBy/>
  <dcterms:modified xsi:type="dcterms:W3CDTF">2026-09-23T15:34:36Z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